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activeTab="0"/>
  </bookViews>
  <sheets>
    <sheet name="2020" sheetId="1" r:id="rId1"/>
    <sheet name="2019" sheetId="2" r:id="rId2"/>
    <sheet name="2018" sheetId="3" r:id="rId3"/>
    <sheet name="2017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<sst xmlns="http://schemas.openxmlformats.org/spreadsheetml/2006/main" count="223" uniqueCount="51">
  <si>
    <t>Situation</t>
  </si>
  <si>
    <t>1er enfant</t>
  </si>
  <si>
    <t xml:space="preserve">2ème enfant </t>
  </si>
  <si>
    <t xml:space="preserve">3ème enfant </t>
  </si>
  <si>
    <t xml:space="preserve">4ème enfant </t>
  </si>
  <si>
    <t>déductions</t>
  </si>
  <si>
    <t>Récapitulatif</t>
  </si>
  <si>
    <t>Annuel</t>
  </si>
  <si>
    <t>Mensuel</t>
  </si>
  <si>
    <t>Salaire brut</t>
  </si>
  <si>
    <t>CALCUL DE L'IMPOT</t>
  </si>
  <si>
    <t>Salaire imposable 1</t>
  </si>
  <si>
    <t>Imposable</t>
  </si>
  <si>
    <t>Abattement</t>
  </si>
  <si>
    <t>Déduction</t>
  </si>
  <si>
    <t>Salaire net</t>
  </si>
  <si>
    <t>Salaire imposable 2</t>
  </si>
  <si>
    <t>Charges patronales</t>
  </si>
  <si>
    <t>Accident de travail</t>
  </si>
  <si>
    <t>Totaux</t>
  </si>
  <si>
    <t>Nombre mois</t>
  </si>
  <si>
    <t>CNSS patronale</t>
  </si>
  <si>
    <t>CNSS salariale</t>
  </si>
  <si>
    <t>IRPP</t>
  </si>
  <si>
    <t>TFP</t>
  </si>
  <si>
    <t>FOPROLOS</t>
  </si>
  <si>
    <t>Hypothèses:</t>
  </si>
  <si>
    <t>CNSS salariale:</t>
  </si>
  <si>
    <t>CNSS patronale:</t>
  </si>
  <si>
    <t>Accident de travail:</t>
  </si>
  <si>
    <t>TFP:</t>
  </si>
  <si>
    <t>FOPROLOS:</t>
  </si>
  <si>
    <t>Pris en charge agé moins 20 ans</t>
  </si>
  <si>
    <t>Non pris en charge</t>
  </si>
  <si>
    <t>Etudiant non boursié de moins de 25 ans</t>
  </si>
  <si>
    <t>Célibataire</t>
  </si>
  <si>
    <t>Marié</t>
  </si>
  <si>
    <t>Veuf</t>
  </si>
  <si>
    <t>Divorcé</t>
  </si>
  <si>
    <t>Charge globale:</t>
  </si>
  <si>
    <t>CNSS RI/TR</t>
  </si>
  <si>
    <t xml:space="preserve">         0,000-------&gt;  5000,000</t>
  </si>
  <si>
    <t xml:space="preserve">  50000,001 et plus</t>
  </si>
  <si>
    <t xml:space="preserve">    5000,001-------&gt;  20000,000</t>
  </si>
  <si>
    <t xml:space="preserve">  20000,001-------&gt; 30000,000</t>
  </si>
  <si>
    <t xml:space="preserve">  30000,001-------&gt; 50000,000</t>
  </si>
  <si>
    <t>TABLEAU CALCUL DE L'IRPP 2017</t>
  </si>
  <si>
    <t>TABLEAU CALCUL DE L'IRPP 2018</t>
  </si>
  <si>
    <t>TABLEAU CALCUL DE L'IRPP 2019</t>
  </si>
  <si>
    <t>CSS</t>
  </si>
  <si>
    <t>TABLEAU CALCUL DE L'IRPP 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</si>
</sst>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"/>
    <numFmt numFmtId="167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ook Antiqua"/>
      <family val="1"/>
    </font>
    <font>
      <b/>
      <sz val="11"/>
      <color indexed="8"/>
      <name val="Arial"/>
      <family val="2"/>
    </font>
    <font>
      <b/>
      <sz val="18"/>
      <color indexed="20"/>
      <name val="Arial Black"/>
      <family val="2"/>
    </font>
    <font>
      <sz val="10"/>
      <name val="Trebuchet MS"/>
      <family val="2"/>
    </font>
    <font>
      <b/>
      <i/>
      <u val="single"/>
      <sz val="18"/>
      <color indexed="20"/>
      <name val="Trebuchet MS"/>
      <family val="2"/>
    </font>
    <font>
      <b/>
      <sz val="10"/>
      <name val="Trebuchet MS"/>
      <family val="2"/>
    </font>
    <font>
      <sz val="10"/>
      <color indexed="10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i/>
      <sz val="12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36"/>
      <name val="Trebuchet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7030A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3" fillId="0" borderId="0" xfId="49" applyFont="1">
      <alignment/>
      <protection/>
    </xf>
    <xf numFmtId="0" fontId="47" fillId="0" borderId="0" xfId="49" applyFont="1" applyAlignment="1">
      <alignment horizontal="left" vertical="center"/>
      <protection/>
    </xf>
    <xf numFmtId="0" fontId="6" fillId="0" borderId="0" xfId="49" applyFont="1">
      <alignment/>
      <protection/>
    </xf>
    <xf numFmtId="0" fontId="7" fillId="0" borderId="0" xfId="49" applyFont="1" applyAlignment="1">
      <alignment horizontal="center" shrinkToFit="1"/>
      <protection/>
    </xf>
    <xf numFmtId="0" fontId="6" fillId="0" borderId="0" xfId="49" applyFont="1" applyAlignment="1">
      <alignment horizontal="left" vertical="center"/>
      <protection/>
    </xf>
    <xf numFmtId="10" fontId="8" fillId="0" borderId="0" xfId="51" applyNumberFormat="1" applyFont="1" applyAlignment="1">
      <alignment horizontal="center" vertical="center"/>
    </xf>
    <xf numFmtId="166" fontId="8" fillId="0" borderId="0" xfId="51" applyNumberFormat="1" applyFont="1" applyAlignment="1">
      <alignment horizontal="center" vertical="center"/>
    </xf>
    <xf numFmtId="9" fontId="8" fillId="0" borderId="0" xfId="51" applyFont="1" applyAlignment="1">
      <alignment horizontal="center" vertical="center"/>
    </xf>
    <xf numFmtId="166" fontId="6" fillId="0" borderId="10" xfId="49" applyNumberFormat="1" applyFont="1" applyBorder="1" applyAlignment="1">
      <alignment horizontal="left"/>
      <protection/>
    </xf>
    <xf numFmtId="166" fontId="6" fillId="0" borderId="11" xfId="49" applyNumberFormat="1" applyFont="1" applyBorder="1" applyAlignment="1">
      <alignment horizontal="left"/>
      <protection/>
    </xf>
    <xf numFmtId="3" fontId="6" fillId="0" borderId="12" xfId="49" applyNumberFormat="1" applyFont="1" applyBorder="1" applyAlignment="1">
      <alignment horizontal="center"/>
      <protection/>
    </xf>
    <xf numFmtId="166" fontId="6" fillId="0" borderId="11" xfId="49" applyNumberFormat="1" applyFont="1" applyBorder="1">
      <alignment/>
      <protection/>
    </xf>
    <xf numFmtId="166" fontId="6" fillId="0" borderId="0" xfId="49" applyNumberFormat="1" applyFont="1">
      <alignment/>
      <protection/>
    </xf>
    <xf numFmtId="166" fontId="6" fillId="0" borderId="10" xfId="49" applyNumberFormat="1" applyFont="1" applyBorder="1">
      <alignment/>
      <protection/>
    </xf>
    <xf numFmtId="0" fontId="6" fillId="0" borderId="11" xfId="49" applyFont="1" applyBorder="1" applyAlignment="1">
      <alignment horizontal="left"/>
      <protection/>
    </xf>
    <xf numFmtId="3" fontId="6" fillId="0" borderId="10" xfId="49" applyNumberFormat="1" applyFont="1" applyBorder="1">
      <alignment/>
      <protection/>
    </xf>
    <xf numFmtId="166" fontId="8" fillId="0" borderId="12" xfId="49" applyNumberFormat="1" applyFont="1" applyBorder="1" applyAlignment="1">
      <alignment horizontal="center"/>
      <protection/>
    </xf>
    <xf numFmtId="166" fontId="8" fillId="0" borderId="10" xfId="49" applyNumberFormat="1" applyFont="1" applyBorder="1" applyAlignment="1">
      <alignment horizontal="center"/>
      <protection/>
    </xf>
    <xf numFmtId="3" fontId="6" fillId="0" borderId="0" xfId="49" applyNumberFormat="1" applyFont="1">
      <alignment/>
      <protection/>
    </xf>
    <xf numFmtId="3" fontId="8" fillId="0" borderId="12" xfId="49" applyNumberFormat="1" applyFont="1" applyBorder="1" applyAlignment="1">
      <alignment horizontal="left"/>
      <protection/>
    </xf>
    <xf numFmtId="3" fontId="6" fillId="0" borderId="13" xfId="49" applyNumberFormat="1" applyFont="1" applyBorder="1" applyAlignment="1">
      <alignment horizontal="center"/>
      <protection/>
    </xf>
    <xf numFmtId="3" fontId="6" fillId="0" borderId="11" xfId="49" applyNumberFormat="1" applyFont="1" applyBorder="1" applyAlignment="1">
      <alignment horizontal="center"/>
      <protection/>
    </xf>
    <xf numFmtId="3" fontId="6" fillId="0" borderId="14" xfId="49" applyNumberFormat="1" applyFont="1" applyBorder="1" applyAlignment="1">
      <alignment horizontal="center"/>
      <protection/>
    </xf>
    <xf numFmtId="3" fontId="6" fillId="0" borderId="15" xfId="49" applyNumberFormat="1" applyFont="1" applyBorder="1" applyAlignment="1">
      <alignment horizontal="center"/>
      <protection/>
    </xf>
    <xf numFmtId="166" fontId="6" fillId="0" borderId="16" xfId="49" applyNumberFormat="1" applyFont="1" applyBorder="1">
      <alignment/>
      <protection/>
    </xf>
    <xf numFmtId="3" fontId="6" fillId="0" borderId="17" xfId="49" applyNumberFormat="1" applyFont="1" applyBorder="1" applyAlignment="1">
      <alignment horizontal="center"/>
      <protection/>
    </xf>
    <xf numFmtId="3" fontId="6" fillId="0" borderId="0" xfId="49" applyNumberFormat="1" applyFont="1" applyAlignment="1">
      <alignment horizontal="center"/>
      <protection/>
    </xf>
    <xf numFmtId="166" fontId="6" fillId="0" borderId="18" xfId="49" applyNumberFormat="1" applyFont="1" applyBorder="1">
      <alignment/>
      <protection/>
    </xf>
    <xf numFmtId="3" fontId="6" fillId="0" borderId="19" xfId="49" applyNumberFormat="1" applyFont="1" applyBorder="1" applyAlignment="1">
      <alignment horizontal="center"/>
      <protection/>
    </xf>
    <xf numFmtId="3" fontId="6" fillId="0" borderId="20" xfId="49" applyNumberFormat="1" applyFont="1" applyBorder="1" applyAlignment="1">
      <alignment horizontal="center"/>
      <protection/>
    </xf>
    <xf numFmtId="166" fontId="6" fillId="0" borderId="21" xfId="49" applyNumberFormat="1" applyFont="1" applyBorder="1">
      <alignment/>
      <protection/>
    </xf>
    <xf numFmtId="166" fontId="8" fillId="7" borderId="10" xfId="49" applyNumberFormat="1" applyFont="1" applyFill="1" applyBorder="1">
      <alignment/>
      <protection/>
    </xf>
    <xf numFmtId="166" fontId="9" fillId="0" borderId="0" xfId="49" applyNumberFormat="1" applyFont="1" applyAlignment="1">
      <alignment horizontal="right"/>
      <protection/>
    </xf>
    <xf numFmtId="3" fontId="6" fillId="0" borderId="14" xfId="49" applyNumberFormat="1" applyFont="1" applyBorder="1" applyAlignment="1">
      <alignment horizontal="left"/>
      <protection/>
    </xf>
    <xf numFmtId="3" fontId="6" fillId="0" borderId="15" xfId="49" applyNumberFormat="1" applyFont="1" applyBorder="1" applyAlignment="1">
      <alignment horizontal="left"/>
      <protection/>
    </xf>
    <xf numFmtId="3" fontId="6" fillId="0" borderId="17" xfId="49" applyNumberFormat="1" applyFont="1" applyBorder="1" applyAlignment="1">
      <alignment horizontal="left"/>
      <protection/>
    </xf>
    <xf numFmtId="0" fontId="6" fillId="0" borderId="0" xfId="49" applyFont="1" applyAlignment="1">
      <alignment horizontal="left"/>
      <protection/>
    </xf>
    <xf numFmtId="0" fontId="8" fillId="0" borderId="10" xfId="49" applyFont="1" applyBorder="1" applyAlignment="1">
      <alignment horizontal="right"/>
      <protection/>
    </xf>
    <xf numFmtId="166" fontId="8" fillId="0" borderId="10" xfId="49" applyNumberFormat="1" applyFont="1" applyBorder="1">
      <alignment/>
      <protection/>
    </xf>
    <xf numFmtId="3" fontId="6" fillId="0" borderId="10" xfId="49" applyNumberFormat="1" applyFont="1" applyBorder="1" applyAlignment="1">
      <alignment horizontal="center"/>
      <protection/>
    </xf>
    <xf numFmtId="0" fontId="6" fillId="0" borderId="13" xfId="49" applyFont="1" applyBorder="1" applyAlignment="1">
      <alignment horizontal="left"/>
      <protection/>
    </xf>
    <xf numFmtId="0" fontId="8" fillId="0" borderId="0" xfId="49" applyFont="1" applyAlignment="1">
      <alignment horizontal="right"/>
      <protection/>
    </xf>
    <xf numFmtId="166" fontId="8" fillId="0" borderId="0" xfId="49" applyNumberFormat="1" applyFont="1">
      <alignment/>
      <protection/>
    </xf>
    <xf numFmtId="3" fontId="8" fillId="0" borderId="10" xfId="49" applyNumberFormat="1" applyFont="1" applyBorder="1" applyAlignment="1">
      <alignment horizontal="center"/>
      <protection/>
    </xf>
    <xf numFmtId="0" fontId="10" fillId="0" borderId="0" xfId="49" applyFont="1">
      <alignment/>
      <protection/>
    </xf>
    <xf numFmtId="166" fontId="11" fillId="33" borderId="10" xfId="49" applyNumberFormat="1" applyFont="1" applyFill="1" applyBorder="1" applyAlignment="1">
      <alignment horizontal="center" vertical="center"/>
      <protection/>
    </xf>
    <xf numFmtId="166" fontId="13" fillId="34" borderId="22" xfId="49" applyNumberFormat="1" applyFont="1" applyFill="1" applyBorder="1" applyAlignment="1">
      <alignment horizontal="center" vertical="center"/>
      <protection/>
    </xf>
    <xf numFmtId="166" fontId="6" fillId="0" borderId="0" xfId="49" applyNumberFormat="1" applyFont="1" applyAlignment="1">
      <alignment horizontal="center" vertical="center"/>
      <protection/>
    </xf>
    <xf numFmtId="9" fontId="6" fillId="0" borderId="0" xfId="51" applyFont="1" applyAlignment="1">
      <alignment horizontal="center" vertical="center"/>
    </xf>
    <xf numFmtId="167" fontId="6" fillId="0" borderId="0" xfId="49" applyNumberFormat="1" applyFont="1" applyAlignment="1">
      <alignment horizontal="right" vertical="center"/>
      <protection/>
    </xf>
    <xf numFmtId="10" fontId="6" fillId="0" borderId="0" xfId="49" applyNumberFormat="1" applyFont="1">
      <alignment/>
      <protection/>
    </xf>
    <xf numFmtId="166" fontId="6" fillId="0" borderId="13" xfId="49" applyNumberFormat="1" applyFont="1" applyBorder="1">
      <alignment/>
      <protection/>
    </xf>
    <xf numFmtId="0" fontId="6" fillId="0" borderId="0" xfId="49" applyFont="1" applyAlignment="1">
      <alignment horizontal="center" vertical="center"/>
      <protection/>
    </xf>
    <xf numFmtId="14" fontId="6" fillId="0" borderId="0" xfId="49" applyNumberFormat="1" applyFont="1" applyAlignment="1">
      <alignment horizontal="center" vertical="center"/>
      <protection/>
    </xf>
    <xf numFmtId="0" fontId="12" fillId="0" borderId="0" xfId="49" applyFont="1" applyAlignment="1">
      <alignment horizontal="center"/>
      <protection/>
    </xf>
    <xf numFmtId="0" fontId="12" fillId="0" borderId="23" xfId="49" applyFont="1" applyBorder="1" applyAlignment="1">
      <alignment horizontal="center"/>
      <protection/>
    </xf>
    <xf numFmtId="0" fontId="5" fillId="0" borderId="0" xfId="49" applyFont="1" applyAlignment="1">
      <alignment horizontal="center" vertical="center" shrinkToFit="1"/>
      <protection/>
    </xf>
    <xf numFmtId="166" fontId="6" fillId="0" borderId="12" xfId="49" applyNumberFormat="1" applyFont="1" applyBorder="1" applyAlignment="1">
      <alignment horizontal="left" vertical="center"/>
      <protection/>
    </xf>
    <xf numFmtId="166" fontId="6" fillId="0" borderId="13" xfId="49" applyNumberFormat="1" applyFont="1" applyBorder="1" applyAlignment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Autres IRPP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mulateur%20Paie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2019"/>
      <sheetName val="2018"/>
      <sheetName val="2017"/>
      <sheetName val="Simulateur Paie 2020"/>
    </sheetNames>
    <definedNames>
      <definedName name="Feuil5.ValeurCibleAut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00B050"/>
  </sheetPr>
  <dimension ref="A2:I72"/>
  <sheetViews>
    <sheetView tabSelected="1" zoomScalePageLayoutView="0" workbookViewId="0" topLeftCell="A4">
      <selection activeCell="C35" sqref="C35"/>
    </sheetView>
  </sheetViews>
  <sheetFormatPr defaultColWidth="11.421875" defaultRowHeight="15"/>
  <cols>
    <col min="1" max="1" width="18.421875" style="1" customWidth="1"/>
    <col min="2" max="2" width="13.7109375" style="1" customWidth="1"/>
    <col min="3" max="3" width="12.421875" style="1" customWidth="1"/>
    <col min="4" max="4" width="9.421875" style="1" customWidth="1"/>
    <col min="5" max="5" width="17.28125" style="1" customWidth="1"/>
    <col min="6" max="6" width="12.7109375" style="1" customWidth="1"/>
    <col min="7" max="7" width="11.57421875" style="1" customWidth="1"/>
    <col min="8" max="16384" width="11.421875" style="1" customWidth="1"/>
  </cols>
  <sheetData>
    <row r="2" spans="1:7" ht="27">
      <c r="A2" s="57" t="s">
        <v>50</v>
      </c>
      <c r="B2" s="57"/>
      <c r="C2" s="57"/>
      <c r="D2" s="57"/>
      <c r="E2" s="57"/>
      <c r="F2" s="57"/>
      <c r="G2" s="57"/>
    </row>
    <row r="3" spans="1:7" s="3" customFormat="1" ht="23.25">
      <c r="A3" s="2" t="s">
        <v>26</v>
      </c>
      <c r="E3" s="4"/>
      <c r="F3" s="4"/>
      <c r="G3" s="4"/>
    </row>
    <row r="4" spans="1:7" s="3" customFormat="1" ht="15.75" customHeight="1">
      <c r="A4" s="5" t="s">
        <v>27</v>
      </c>
      <c r="B4" s="6">
        <v>0.0918</v>
      </c>
      <c r="E4" s="4"/>
      <c r="F4" s="4"/>
      <c r="G4" s="4"/>
    </row>
    <row r="5" spans="1:7" s="3" customFormat="1" ht="15.75" customHeight="1">
      <c r="A5" s="5" t="s">
        <v>28</v>
      </c>
      <c r="B5" s="6">
        <v>0.1657</v>
      </c>
      <c r="E5" s="4"/>
      <c r="F5" s="4"/>
      <c r="G5" s="4"/>
    </row>
    <row r="6" spans="1:7" s="3" customFormat="1" ht="15.75" customHeight="1">
      <c r="A6" s="5" t="s">
        <v>29</v>
      </c>
      <c r="B6" s="6">
        <v>0.005</v>
      </c>
      <c r="E6" s="4"/>
      <c r="F6" s="4"/>
      <c r="G6" s="4"/>
    </row>
    <row r="7" spans="1:7" s="3" customFormat="1" ht="15.75" customHeight="1">
      <c r="A7" s="5" t="s">
        <v>40</v>
      </c>
      <c r="B7" s="7">
        <v>0</v>
      </c>
      <c r="E7" s="4"/>
      <c r="F7" s="4"/>
      <c r="G7" s="4"/>
    </row>
    <row r="8" spans="1:7" s="3" customFormat="1" ht="15.75" customHeight="1">
      <c r="A8" s="5" t="s">
        <v>30</v>
      </c>
      <c r="B8" s="8">
        <v>0.02</v>
      </c>
      <c r="E8" s="4"/>
      <c r="F8" s="4"/>
      <c r="G8" s="4"/>
    </row>
    <row r="9" spans="1:7" s="3" customFormat="1" ht="15.75" customHeight="1">
      <c r="A9" s="5" t="s">
        <v>31</v>
      </c>
      <c r="B9" s="8">
        <v>0.01</v>
      </c>
      <c r="E9" s="4"/>
      <c r="F9" s="4"/>
      <c r="G9" s="4"/>
    </row>
    <row r="10" s="3" customFormat="1" ht="15"/>
    <row r="11" spans="1:8" s="3" customFormat="1" ht="15">
      <c r="A11" s="9" t="s">
        <v>0</v>
      </c>
      <c r="B11" s="58" t="s">
        <v>36</v>
      </c>
      <c r="C11" s="59"/>
      <c r="D11" s="59"/>
      <c r="E11" s="10"/>
      <c r="F11" s="11"/>
      <c r="G11" s="12">
        <f>IF(B11="Célibataire",0,300)</f>
        <v>300</v>
      </c>
      <c r="H11" s="13"/>
    </row>
    <row r="12" spans="1:8" s="3" customFormat="1" ht="15">
      <c r="A12" s="14" t="s">
        <v>1</v>
      </c>
      <c r="B12" s="58" t="s">
        <v>33</v>
      </c>
      <c r="C12" s="59"/>
      <c r="D12" s="59"/>
      <c r="E12" s="10"/>
      <c r="F12" s="11"/>
      <c r="G12" s="12">
        <f>IF(B12="non pris en charge",0,IF(B12="Pris en charge agé moins 20 ans",100,1000))</f>
        <v>0</v>
      </c>
      <c r="H12" s="13"/>
    </row>
    <row r="13" spans="1:8" s="3" customFormat="1" ht="15">
      <c r="A13" s="14" t="s">
        <v>2</v>
      </c>
      <c r="B13" s="58" t="s">
        <v>33</v>
      </c>
      <c r="C13" s="59"/>
      <c r="D13" s="59"/>
      <c r="E13" s="15"/>
      <c r="F13" s="11"/>
      <c r="G13" s="12">
        <f>IF(B13="non pris en charge",0,IF(B13="Pris en charge agé moins 20 ans",100,1000))</f>
        <v>0</v>
      </c>
      <c r="H13" s="13"/>
    </row>
    <row r="14" spans="1:8" s="3" customFormat="1" ht="15">
      <c r="A14" s="14" t="s">
        <v>3</v>
      </c>
      <c r="B14" s="58" t="s">
        <v>33</v>
      </c>
      <c r="C14" s="59"/>
      <c r="D14" s="59"/>
      <c r="E14" s="15"/>
      <c r="F14" s="11"/>
      <c r="G14" s="12">
        <f>IF(B14="non pris en charge",0,IF(B14="Pris en charge agé moins 20 ans",100,1000))</f>
        <v>0</v>
      </c>
      <c r="H14" s="13"/>
    </row>
    <row r="15" spans="1:8" s="3" customFormat="1" ht="15">
      <c r="A15" s="14" t="s">
        <v>4</v>
      </c>
      <c r="B15" s="58" t="s">
        <v>33</v>
      </c>
      <c r="C15" s="59"/>
      <c r="D15" s="59"/>
      <c r="E15" s="15"/>
      <c r="F15" s="11"/>
      <c r="G15" s="12">
        <f>IF(B15="non pris en charge",0,IF(B15="Pris en charge agé moins 20 ans",100,1000))</f>
        <v>0</v>
      </c>
      <c r="H15" s="13"/>
    </row>
    <row r="16" spans="1:8" s="3" customFormat="1" ht="15">
      <c r="A16" s="13"/>
      <c r="B16" s="13"/>
      <c r="C16" s="13"/>
      <c r="D16" s="13"/>
      <c r="E16" s="13"/>
      <c r="F16" s="16" t="s">
        <v>5</v>
      </c>
      <c r="G16" s="14">
        <f>SUM(G11:G15)</f>
        <v>300</v>
      </c>
      <c r="H16" s="13"/>
    </row>
    <row r="17" spans="1:7" s="3" customFormat="1" ht="15">
      <c r="A17" s="17" t="s">
        <v>6</v>
      </c>
      <c r="B17" s="18" t="s">
        <v>7</v>
      </c>
      <c r="C17" s="18" t="s">
        <v>8</v>
      </c>
      <c r="D17" s="13"/>
      <c r="E17" s="19"/>
      <c r="F17" s="13"/>
      <c r="G17" s="13"/>
    </row>
    <row r="18" spans="1:7" s="3" customFormat="1" ht="15">
      <c r="A18" s="14" t="s">
        <v>9</v>
      </c>
      <c r="B18" s="14">
        <f>+C18*B32</f>
        <v>6342.215371063642</v>
      </c>
      <c r="C18" s="14">
        <v>528.5179475886368</v>
      </c>
      <c r="D18" s="13"/>
      <c r="E18" s="20" t="s">
        <v>10</v>
      </c>
      <c r="F18" s="21"/>
      <c r="G18" s="22"/>
    </row>
    <row r="19" spans="1:7" s="3" customFormat="1" ht="15">
      <c r="A19" s="14" t="s">
        <v>22</v>
      </c>
      <c r="B19" s="14">
        <f>B18*B4</f>
        <v>582.2153710636424</v>
      </c>
      <c r="C19" s="14">
        <f>C18*B4</f>
        <v>48.517947588636865</v>
      </c>
      <c r="D19" s="13"/>
      <c r="E19" s="23" t="s">
        <v>11</v>
      </c>
      <c r="F19" s="24"/>
      <c r="G19" s="25">
        <f>B20</f>
        <v>5760</v>
      </c>
    </row>
    <row r="20" spans="1:9" s="3" customFormat="1" ht="15">
      <c r="A20" s="14" t="s">
        <v>12</v>
      </c>
      <c r="B20" s="14">
        <f>+B18-B19</f>
        <v>5760</v>
      </c>
      <c r="C20" s="14">
        <f>+C18-C19</f>
        <v>480</v>
      </c>
      <c r="D20" s="13"/>
      <c r="E20" s="26" t="s">
        <v>13</v>
      </c>
      <c r="F20" s="27"/>
      <c r="G20" s="28">
        <f>IF(G19*0.1&lt;=2000,G19*0.1,2000)</f>
        <v>576</v>
      </c>
      <c r="I20" s="13"/>
    </row>
    <row r="21" spans="1:7" s="3" customFormat="1" ht="15">
      <c r="A21" s="14" t="s">
        <v>23</v>
      </c>
      <c r="B21" s="14">
        <f>H30</f>
        <v>0</v>
      </c>
      <c r="C21" s="14">
        <f>B21/B32</f>
        <v>0</v>
      </c>
      <c r="D21" s="13"/>
      <c r="E21" s="29" t="s">
        <v>14</v>
      </c>
      <c r="F21" s="30"/>
      <c r="G21" s="31">
        <f>G16</f>
        <v>300</v>
      </c>
    </row>
    <row r="22" spans="1:7" s="3" customFormat="1" ht="15">
      <c r="A22" s="14" t="s">
        <v>49</v>
      </c>
      <c r="B22" s="14">
        <f>+(G30-H30)</f>
        <v>0</v>
      </c>
      <c r="C22" s="14">
        <f>+B22/B32</f>
        <v>0</v>
      </c>
      <c r="D22" s="13"/>
      <c r="E22" s="11" t="s">
        <v>16</v>
      </c>
      <c r="F22" s="21"/>
      <c r="G22" s="12">
        <f>G19-G20-G21</f>
        <v>4884</v>
      </c>
    </row>
    <row r="23" spans="1:7" s="3" customFormat="1" ht="15">
      <c r="A23" s="14" t="s">
        <v>15</v>
      </c>
      <c r="B23" s="14">
        <f>B20-B21</f>
        <v>5760</v>
      </c>
      <c r="C23" s="32">
        <f>+C20-C21-C22</f>
        <v>480</v>
      </c>
      <c r="D23" s="13"/>
      <c r="E23" s="26"/>
      <c r="F23" s="27"/>
      <c r="G23" s="28">
        <f>ROUNDUP(G22,0)</f>
        <v>4884</v>
      </c>
    </row>
    <row r="24" spans="1:7" s="3" customFormat="1" ht="15">
      <c r="A24" s="33"/>
      <c r="B24" s="33"/>
      <c r="C24" s="33"/>
      <c r="D24" s="13"/>
      <c r="E24" s="21"/>
      <c r="F24" s="21"/>
      <c r="G24" s="52"/>
    </row>
    <row r="25" spans="1:8" s="3" customFormat="1" ht="15">
      <c r="A25" s="18" t="s">
        <v>17</v>
      </c>
      <c r="B25" s="18" t="s">
        <v>7</v>
      </c>
      <c r="C25" s="18" t="s">
        <v>8</v>
      </c>
      <c r="D25" s="13"/>
      <c r="E25" s="34" t="s">
        <v>41</v>
      </c>
      <c r="F25" s="35"/>
      <c r="G25" s="25">
        <f>IF(G23&lt;5000,0,50)</f>
        <v>0</v>
      </c>
      <c r="H25" s="13">
        <v>0</v>
      </c>
    </row>
    <row r="26" spans="1:8" s="3" customFormat="1" ht="15">
      <c r="A26" s="14" t="s">
        <v>21</v>
      </c>
      <c r="B26" s="14"/>
      <c r="C26" s="14">
        <f>C18*B5</f>
        <v>87.57542391543711</v>
      </c>
      <c r="D26" s="13"/>
      <c r="E26" s="36" t="s">
        <v>43</v>
      </c>
      <c r="F26" s="37"/>
      <c r="G26" s="28">
        <f>IF(G23&gt;5000,IF(G23&lt;20000,(G23-5000)*0.27,4050),0)</f>
        <v>0</v>
      </c>
      <c r="H26" s="13">
        <f>IF(G23&gt;5000,IF(G23&lt;20000,(G23-5000)*0.26,3900),0)</f>
        <v>0</v>
      </c>
    </row>
    <row r="27" spans="1:8" s="3" customFormat="1" ht="15">
      <c r="A27" s="14" t="s">
        <v>18</v>
      </c>
      <c r="B27" s="14"/>
      <c r="C27" s="14">
        <f>C18*B6</f>
        <v>2.6425897379431844</v>
      </c>
      <c r="D27" s="13"/>
      <c r="E27" s="36" t="s">
        <v>44</v>
      </c>
      <c r="F27" s="37"/>
      <c r="G27" s="28">
        <f>IF(G23&gt;20000,IF(G23&lt;30000,(G23-20000)*0.29,2900),0)</f>
        <v>0</v>
      </c>
      <c r="H27" s="13">
        <f>IF(G23&gt;20000,IF(G23&lt;30000,(G23-20000)*0.28,2800),0)</f>
        <v>0</v>
      </c>
    </row>
    <row r="28" spans="1:8" s="3" customFormat="1" ht="15">
      <c r="A28" s="14" t="s">
        <v>24</v>
      </c>
      <c r="B28" s="14"/>
      <c r="C28" s="14">
        <f>C18*B8</f>
        <v>10.570358951772738</v>
      </c>
      <c r="D28" s="13"/>
      <c r="E28" s="36" t="s">
        <v>45</v>
      </c>
      <c r="F28" s="37"/>
      <c r="G28" s="28">
        <f>IF(G23&gt;30000,IF(G23&lt;50000,(G23-30000)*0.33,6600),0)</f>
        <v>0</v>
      </c>
      <c r="H28" s="13">
        <f>IF(G23&gt;30000,IF(G23&lt;50000,(G23-30000)*0.32,6400),0)</f>
        <v>0</v>
      </c>
    </row>
    <row r="29" spans="1:8" s="3" customFormat="1" ht="15">
      <c r="A29" s="14" t="s">
        <v>25</v>
      </c>
      <c r="B29" s="14"/>
      <c r="C29" s="14">
        <f>C18*B9</f>
        <v>5.285179475886369</v>
      </c>
      <c r="D29" s="13"/>
      <c r="E29" s="36" t="s">
        <v>42</v>
      </c>
      <c r="F29" s="37"/>
      <c r="G29" s="28">
        <f>IF(G23&gt;50000,(G23-50000)*0.36,0)</f>
        <v>0</v>
      </c>
      <c r="H29" s="13">
        <f>IF(G23&gt;50000,(G23-50000)*0.35,0)</f>
        <v>0</v>
      </c>
    </row>
    <row r="30" spans="1:8" s="3" customFormat="1" ht="15">
      <c r="A30" s="38" t="s">
        <v>19</v>
      </c>
      <c r="B30" s="39"/>
      <c r="C30" s="39">
        <f>SUM(C26:C29)</f>
        <v>106.0735520810394</v>
      </c>
      <c r="D30" s="13"/>
      <c r="E30" s="40" t="s">
        <v>19</v>
      </c>
      <c r="F30" s="41"/>
      <c r="G30" s="14">
        <f>SUM(G25:G29)</f>
        <v>0</v>
      </c>
      <c r="H30" s="13">
        <f>SUM(H23:H29)</f>
        <v>0</v>
      </c>
    </row>
    <row r="31" spans="1:7" s="3" customFormat="1" ht="15">
      <c r="A31" s="42"/>
      <c r="B31" s="43"/>
      <c r="C31" s="43"/>
      <c r="E31" s="27"/>
      <c r="F31" s="37"/>
      <c r="G31" s="13"/>
    </row>
    <row r="32" spans="1:3" s="3" customFormat="1" ht="15">
      <c r="A32" s="17" t="s">
        <v>20</v>
      </c>
      <c r="B32" s="44">
        <v>12</v>
      </c>
      <c r="C32" s="13"/>
    </row>
    <row r="33" s="3" customFormat="1" ht="15"/>
    <row r="34" spans="6:8" s="3" customFormat="1" ht="18">
      <c r="F34" s="45"/>
      <c r="G34" s="45"/>
      <c r="H34" s="45"/>
    </row>
    <row r="35" spans="1:8" s="3" customFormat="1" ht="18">
      <c r="A35" s="45"/>
      <c r="B35" s="45"/>
      <c r="C35" s="46">
        <v>480</v>
      </c>
      <c r="E35" s="45"/>
      <c r="F35" s="45"/>
      <c r="G35" s="45"/>
      <c r="H35" s="45"/>
    </row>
    <row r="36" spans="1:8" s="3" customFormat="1" ht="18">
      <c r="A36" s="45"/>
      <c r="B36" s="45"/>
      <c r="C36" s="45"/>
      <c r="D36" s="45"/>
      <c r="E36" s="45"/>
      <c r="F36" s="45"/>
      <c r="G36" s="45"/>
      <c r="H36" s="45"/>
    </row>
    <row r="37" spans="1:8" s="3" customFormat="1" ht="18.75" thickBot="1">
      <c r="A37" s="45"/>
      <c r="B37" s="45"/>
      <c r="C37" s="45"/>
      <c r="E37" s="45"/>
      <c r="F37" s="45"/>
      <c r="G37" s="45"/>
      <c r="H37" s="45"/>
    </row>
    <row r="38" spans="1:5" s="3" customFormat="1" ht="18.75" thickBot="1">
      <c r="A38" s="55" t="s">
        <v>39</v>
      </c>
      <c r="B38" s="56"/>
      <c r="C38" s="47">
        <f>C18+C30+B7/3</f>
        <v>634.5914996696763</v>
      </c>
      <c r="E38" s="45"/>
    </row>
    <row r="39" s="3" customFormat="1" ht="15"/>
    <row r="40" spans="3:4" s="3" customFormat="1" ht="15">
      <c r="C40" s="48">
        <f>+C38-C35</f>
        <v>154.5914996696763</v>
      </c>
      <c r="D40" s="49">
        <f>+C40/C35</f>
        <v>0.3220656243118256</v>
      </c>
    </row>
    <row r="41" s="3" customFormat="1" ht="15"/>
    <row r="42" s="3" customFormat="1" ht="15" hidden="1">
      <c r="A42" s="3" t="s">
        <v>33</v>
      </c>
    </row>
    <row r="43" s="3" customFormat="1" ht="15" hidden="1">
      <c r="A43" s="3" t="s">
        <v>32</v>
      </c>
    </row>
    <row r="44" s="3" customFormat="1" ht="15" hidden="1">
      <c r="A44" s="3" t="s">
        <v>34</v>
      </c>
    </row>
    <row r="45" s="3" customFormat="1" ht="15" hidden="1">
      <c r="A45" s="3" t="s">
        <v>35</v>
      </c>
    </row>
    <row r="46" s="3" customFormat="1" ht="15" hidden="1">
      <c r="A46" s="3" t="s">
        <v>36</v>
      </c>
    </row>
    <row r="47" s="3" customFormat="1" ht="15" hidden="1">
      <c r="A47" s="3" t="s">
        <v>38</v>
      </c>
    </row>
    <row r="48" s="3" customFormat="1" ht="15" hidden="1">
      <c r="A48" s="3" t="s">
        <v>37</v>
      </c>
    </row>
    <row r="49" s="3" customFormat="1" ht="15" hidden="1">
      <c r="A49" s="3">
        <v>0</v>
      </c>
    </row>
    <row r="50" spans="1:2" s="3" customFormat="1" ht="15" hidden="1">
      <c r="A50" s="50">
        <v>160.633</v>
      </c>
      <c r="B50" s="53"/>
    </row>
    <row r="51" spans="1:2" s="3" customFormat="1" ht="15" hidden="1">
      <c r="A51" s="50">
        <v>240.95</v>
      </c>
      <c r="B51" s="53"/>
    </row>
    <row r="52" spans="1:2" s="3" customFormat="1" ht="15" hidden="1">
      <c r="A52" s="50">
        <v>321.266</v>
      </c>
      <c r="B52" s="53"/>
    </row>
    <row r="53" spans="1:2" s="3" customFormat="1" ht="15" hidden="1">
      <c r="A53" s="50">
        <v>481.9</v>
      </c>
      <c r="B53" s="53"/>
    </row>
    <row r="54" spans="1:2" s="3" customFormat="1" ht="15" hidden="1">
      <c r="A54" s="50">
        <v>642.533</v>
      </c>
      <c r="B54" s="53"/>
    </row>
    <row r="55" spans="1:2" s="3" customFormat="1" ht="15" hidden="1">
      <c r="A55" s="51">
        <v>0.0918</v>
      </c>
      <c r="B55" s="53"/>
    </row>
    <row r="56" spans="1:2" s="3" customFormat="1" ht="15" hidden="1">
      <c r="A56" s="51">
        <v>0.1018</v>
      </c>
      <c r="B56" s="54">
        <v>43831</v>
      </c>
    </row>
    <row r="57" spans="1:2" s="3" customFormat="1" ht="15" hidden="1">
      <c r="A57" s="51">
        <v>0</v>
      </c>
      <c r="B57" s="53"/>
    </row>
    <row r="58" spans="1:2" s="3" customFormat="1" ht="15" hidden="1">
      <c r="A58" s="51">
        <v>0.1657</v>
      </c>
      <c r="B58" s="53"/>
    </row>
    <row r="59" spans="1:2" s="3" customFormat="1" ht="15" hidden="1">
      <c r="A59" s="51">
        <v>0.1857</v>
      </c>
      <c r="B59" s="53"/>
    </row>
    <row r="60" spans="1:2" s="3" customFormat="1" ht="15" hidden="1">
      <c r="A60" s="51">
        <v>0.1607</v>
      </c>
      <c r="B60" s="53"/>
    </row>
    <row r="61" spans="1:2" s="3" customFormat="1" ht="15" hidden="1">
      <c r="A61" s="51">
        <v>0.1807</v>
      </c>
      <c r="B61" s="53"/>
    </row>
    <row r="62" spans="1:2" s="3" customFormat="1" ht="15" hidden="1">
      <c r="A62" s="51">
        <v>0</v>
      </c>
      <c r="B62" s="53"/>
    </row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pans="1:8" ht="15">
      <c r="A72" s="3"/>
      <c r="B72" s="3"/>
      <c r="C72" s="3"/>
      <c r="E72" s="3"/>
      <c r="F72" s="3"/>
      <c r="G72" s="3"/>
      <c r="H72" s="3"/>
    </row>
  </sheetData>
  <sheetProtection/>
  <mergeCells count="7">
    <mergeCell ref="A38:B38"/>
    <mergeCell ref="A2:G2"/>
    <mergeCell ref="B11:D11"/>
    <mergeCell ref="B12:D12"/>
    <mergeCell ref="B13:D13"/>
    <mergeCell ref="B14:D14"/>
    <mergeCell ref="B15:D15"/>
  </mergeCells>
  <dataValidations count="5">
    <dataValidation type="list" allowBlank="1" showInputMessage="1" showErrorMessage="1" sqref="B11:D11">
      <formula1>$A$45:$A$48</formula1>
    </dataValidation>
    <dataValidation type="list" allowBlank="1" showInputMessage="1" showErrorMessage="1" sqref="B7">
      <formula1>$A$49:$A$54</formula1>
    </dataValidation>
    <dataValidation type="list" allowBlank="1" showInputMessage="1" showErrorMessage="1" sqref="B12:D15">
      <formula1>$A$42:$A$44</formula1>
    </dataValidation>
    <dataValidation type="list" allowBlank="1" showInputMessage="1" showErrorMessage="1" sqref="B5">
      <formula1>$A$58:$A$62</formula1>
    </dataValidation>
    <dataValidation type="list" allowBlank="1" showInputMessage="1" showErrorMessage="1" sqref="B4">
      <formula1>$A$55:$A$57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tabColor rgb="FFFFC000"/>
  </sheetPr>
  <dimension ref="A2:I69"/>
  <sheetViews>
    <sheetView zoomScalePageLayoutView="0" workbookViewId="0" topLeftCell="A1">
      <selection activeCell="A2" sqref="A2:G2"/>
    </sheetView>
  </sheetViews>
  <sheetFormatPr defaultColWidth="11.421875" defaultRowHeight="15"/>
  <cols>
    <col min="1" max="1" width="18.421875" style="1" customWidth="1"/>
    <col min="2" max="2" width="13.7109375" style="1" customWidth="1"/>
    <col min="3" max="3" width="12.421875" style="1" customWidth="1"/>
    <col min="4" max="4" width="9.421875" style="1" customWidth="1"/>
    <col min="5" max="5" width="17.28125" style="1" customWidth="1"/>
    <col min="6" max="6" width="12.7109375" style="1" customWidth="1"/>
    <col min="7" max="7" width="11.57421875" style="1" customWidth="1"/>
    <col min="8" max="16384" width="11.421875" style="1" customWidth="1"/>
  </cols>
  <sheetData>
    <row r="2" spans="1:7" ht="27">
      <c r="A2" s="57" t="s">
        <v>48</v>
      </c>
      <c r="B2" s="57"/>
      <c r="C2" s="57"/>
      <c r="D2" s="57"/>
      <c r="E2" s="57"/>
      <c r="F2" s="57"/>
      <c r="G2" s="57"/>
    </row>
    <row r="3" spans="1:7" s="3" customFormat="1" ht="23.25">
      <c r="A3" s="2" t="s">
        <v>26</v>
      </c>
      <c r="E3" s="4"/>
      <c r="F3" s="4"/>
      <c r="G3" s="4"/>
    </row>
    <row r="4" spans="1:7" s="3" customFormat="1" ht="15.75" customHeight="1">
      <c r="A4" s="5" t="s">
        <v>27</v>
      </c>
      <c r="B4" s="6">
        <v>0</v>
      </c>
      <c r="E4" s="4"/>
      <c r="F4" s="4"/>
      <c r="G4" s="4"/>
    </row>
    <row r="5" spans="1:7" s="3" customFormat="1" ht="15.75" customHeight="1">
      <c r="A5" s="5" t="s">
        <v>28</v>
      </c>
      <c r="B5" s="6">
        <v>0</v>
      </c>
      <c r="E5" s="4"/>
      <c r="F5" s="4"/>
      <c r="G5" s="4"/>
    </row>
    <row r="6" spans="1:7" s="3" customFormat="1" ht="15.75" customHeight="1">
      <c r="A6" s="5" t="s">
        <v>29</v>
      </c>
      <c r="B6" s="6">
        <v>0.005</v>
      </c>
      <c r="E6" s="4"/>
      <c r="F6" s="4"/>
      <c r="G6" s="4"/>
    </row>
    <row r="7" spans="1:7" s="3" customFormat="1" ht="15.75" customHeight="1">
      <c r="A7" s="5" t="s">
        <v>40</v>
      </c>
      <c r="B7" s="7">
        <v>160.633</v>
      </c>
      <c r="E7" s="4"/>
      <c r="F7" s="4"/>
      <c r="G7" s="4"/>
    </row>
    <row r="8" spans="1:7" s="3" customFormat="1" ht="15.75" customHeight="1">
      <c r="A8" s="5" t="s">
        <v>30</v>
      </c>
      <c r="B8" s="8">
        <v>0.02</v>
      </c>
      <c r="E8" s="4"/>
      <c r="F8" s="4"/>
      <c r="G8" s="4"/>
    </row>
    <row r="9" spans="1:7" s="3" customFormat="1" ht="15.75" customHeight="1">
      <c r="A9" s="5" t="s">
        <v>31</v>
      </c>
      <c r="B9" s="8">
        <v>0.01</v>
      </c>
      <c r="E9" s="4"/>
      <c r="F9" s="4"/>
      <c r="G9" s="4"/>
    </row>
    <row r="10" s="3" customFormat="1" ht="15"/>
    <row r="11" spans="1:8" s="3" customFormat="1" ht="15">
      <c r="A11" s="9" t="s">
        <v>0</v>
      </c>
      <c r="B11" s="58" t="s">
        <v>36</v>
      </c>
      <c r="C11" s="59"/>
      <c r="D11" s="59"/>
      <c r="E11" s="10"/>
      <c r="F11" s="11"/>
      <c r="G11" s="12">
        <f>IF(B11="Célibataire",0,300)</f>
        <v>300</v>
      </c>
      <c r="H11" s="13"/>
    </row>
    <row r="12" spans="1:8" s="3" customFormat="1" ht="15">
      <c r="A12" s="14" t="s">
        <v>1</v>
      </c>
      <c r="B12" s="58" t="s">
        <v>32</v>
      </c>
      <c r="C12" s="59"/>
      <c r="D12" s="59"/>
      <c r="E12" s="10"/>
      <c r="F12" s="11"/>
      <c r="G12" s="12">
        <f>IF(B12="non pris en charge",0,IF(B12="Pris en charge agé moins 20 ans",100,1000))</f>
        <v>100</v>
      </c>
      <c r="H12" s="13"/>
    </row>
    <row r="13" spans="1:8" s="3" customFormat="1" ht="15">
      <c r="A13" s="14" t="s">
        <v>2</v>
      </c>
      <c r="B13" s="58" t="s">
        <v>32</v>
      </c>
      <c r="C13" s="59"/>
      <c r="D13" s="59"/>
      <c r="E13" s="15"/>
      <c r="F13" s="11"/>
      <c r="G13" s="12">
        <f>IF(B13="non pris en charge",0,IF(B13="Pris en charge agé moins 20 ans",100,1000))</f>
        <v>100</v>
      </c>
      <c r="H13" s="13"/>
    </row>
    <row r="14" spans="1:8" s="3" customFormat="1" ht="15">
      <c r="A14" s="14" t="s">
        <v>3</v>
      </c>
      <c r="B14" s="58" t="s">
        <v>32</v>
      </c>
      <c r="C14" s="59"/>
      <c r="D14" s="59"/>
      <c r="E14" s="15"/>
      <c r="F14" s="11"/>
      <c r="G14" s="12">
        <f>IF(B14="non pris en charge",0,IF(B14="Pris en charge agé moins 20 ans",100,1000))</f>
        <v>100</v>
      </c>
      <c r="H14" s="13"/>
    </row>
    <row r="15" spans="1:8" s="3" customFormat="1" ht="15">
      <c r="A15" s="14" t="s">
        <v>4</v>
      </c>
      <c r="B15" s="58" t="s">
        <v>33</v>
      </c>
      <c r="C15" s="59"/>
      <c r="D15" s="59"/>
      <c r="E15" s="15"/>
      <c r="F15" s="11"/>
      <c r="G15" s="12">
        <f>IF(B15="non pris en charge",0,IF(B15="Pris en charge agé moins 20 ans",100,1000))</f>
        <v>0</v>
      </c>
      <c r="H15" s="13"/>
    </row>
    <row r="16" spans="1:8" s="3" customFormat="1" ht="15">
      <c r="A16" s="13"/>
      <c r="B16" s="13"/>
      <c r="C16" s="13"/>
      <c r="D16" s="13"/>
      <c r="E16" s="13"/>
      <c r="F16" s="16" t="s">
        <v>5</v>
      </c>
      <c r="G16" s="14">
        <f>SUM(G11:G15)</f>
        <v>600</v>
      </c>
      <c r="H16" s="13"/>
    </row>
    <row r="17" spans="1:7" s="3" customFormat="1" ht="15">
      <c r="A17" s="17" t="s">
        <v>6</v>
      </c>
      <c r="B17" s="18" t="s">
        <v>7</v>
      </c>
      <c r="C17" s="18" t="s">
        <v>8</v>
      </c>
      <c r="D17" s="13"/>
      <c r="E17" s="19"/>
      <c r="F17" s="13"/>
      <c r="G17" s="13"/>
    </row>
    <row r="18" spans="1:7" s="3" customFormat="1" ht="15">
      <c r="A18" s="14" t="s">
        <v>9</v>
      </c>
      <c r="B18" s="14">
        <f>+C18*B32</f>
        <v>5806.263089778174</v>
      </c>
      <c r="C18" s="14">
        <v>483.85525748151446</v>
      </c>
      <c r="D18" s="13"/>
      <c r="E18" s="20" t="s">
        <v>10</v>
      </c>
      <c r="F18" s="21"/>
      <c r="G18" s="22"/>
    </row>
    <row r="19" spans="1:7" s="3" customFormat="1" ht="15">
      <c r="A19" s="14" t="s">
        <v>22</v>
      </c>
      <c r="B19" s="14">
        <f>B18*B4</f>
        <v>0</v>
      </c>
      <c r="C19" s="14">
        <f>C18*B4</f>
        <v>0</v>
      </c>
      <c r="D19" s="13"/>
      <c r="E19" s="23" t="s">
        <v>11</v>
      </c>
      <c r="F19" s="24"/>
      <c r="G19" s="25">
        <f>B20</f>
        <v>5806.263089778174</v>
      </c>
    </row>
    <row r="20" spans="1:9" s="3" customFormat="1" ht="15">
      <c r="A20" s="14" t="s">
        <v>12</v>
      </c>
      <c r="B20" s="14">
        <f>+B18-B19</f>
        <v>5806.263089778174</v>
      </c>
      <c r="C20" s="14">
        <f>+C18-C19</f>
        <v>483.85525748151446</v>
      </c>
      <c r="D20" s="13"/>
      <c r="E20" s="26" t="s">
        <v>13</v>
      </c>
      <c r="F20" s="27"/>
      <c r="G20" s="28">
        <f>IF(G19*0.1&lt;=2000,G19*0.1,2000)</f>
        <v>580.6263089778174</v>
      </c>
      <c r="I20" s="13"/>
    </row>
    <row r="21" spans="1:7" s="3" customFormat="1" ht="15">
      <c r="A21" s="14" t="s">
        <v>23</v>
      </c>
      <c r="B21" s="14">
        <f>H30</f>
        <v>0</v>
      </c>
      <c r="C21" s="14">
        <f>B21/B32</f>
        <v>0</v>
      </c>
      <c r="D21" s="13"/>
      <c r="E21" s="29" t="s">
        <v>14</v>
      </c>
      <c r="F21" s="30"/>
      <c r="G21" s="31">
        <f>G16</f>
        <v>600</v>
      </c>
    </row>
    <row r="22" spans="1:7" s="3" customFormat="1" ht="15">
      <c r="A22" s="14" t="s">
        <v>49</v>
      </c>
      <c r="B22" s="14">
        <f>+(G30-H30)</f>
        <v>46.26</v>
      </c>
      <c r="C22" s="14">
        <f>+B22/B32</f>
        <v>3.855</v>
      </c>
      <c r="D22" s="13"/>
      <c r="E22" s="11" t="s">
        <v>16</v>
      </c>
      <c r="F22" s="21"/>
      <c r="G22" s="12">
        <f>G19-G20-G21</f>
        <v>4625.636780800356</v>
      </c>
    </row>
    <row r="23" spans="1:7" s="3" customFormat="1" ht="15">
      <c r="A23" s="14" t="s">
        <v>15</v>
      </c>
      <c r="B23" s="14">
        <f>B20-B21</f>
        <v>5806.263089778174</v>
      </c>
      <c r="C23" s="32">
        <f>+C20-C21-C22</f>
        <v>480.00025748151444</v>
      </c>
      <c r="D23" s="13"/>
      <c r="E23" s="26"/>
      <c r="F23" s="27"/>
      <c r="G23" s="28">
        <f>ROUNDUP(G22,0)</f>
        <v>4626</v>
      </c>
    </row>
    <row r="24" spans="1:7" s="3" customFormat="1" ht="15">
      <c r="A24" s="33"/>
      <c r="B24" s="33"/>
      <c r="C24" s="33"/>
      <c r="D24" s="13"/>
      <c r="E24" s="21"/>
      <c r="F24" s="21"/>
      <c r="G24" s="52"/>
    </row>
    <row r="25" spans="1:8" s="3" customFormat="1" ht="15">
      <c r="A25" s="18" t="s">
        <v>17</v>
      </c>
      <c r="B25" s="18" t="s">
        <v>7</v>
      </c>
      <c r="C25" s="18" t="s">
        <v>8</v>
      </c>
      <c r="D25" s="13"/>
      <c r="E25" s="34" t="s">
        <v>41</v>
      </c>
      <c r="F25" s="35"/>
      <c r="G25" s="25">
        <f>IF(G23&gt;5000,50,G23*0.01)</f>
        <v>46.26</v>
      </c>
      <c r="H25" s="13">
        <v>0</v>
      </c>
    </row>
    <row r="26" spans="1:8" s="3" customFormat="1" ht="15">
      <c r="A26" s="14" t="s">
        <v>21</v>
      </c>
      <c r="B26" s="14"/>
      <c r="C26" s="14">
        <f>C18*B5</f>
        <v>0</v>
      </c>
      <c r="D26" s="13"/>
      <c r="E26" s="36" t="s">
        <v>43</v>
      </c>
      <c r="F26" s="37"/>
      <c r="G26" s="28">
        <f>IF(G23&gt;5000,IF(G23&lt;20000,(G23-5000)*0.27,4050),0)</f>
        <v>0</v>
      </c>
      <c r="H26" s="13">
        <f>IF(G23&gt;5000,IF(G23&lt;20000,(G23-5000)*0.26,3900),0)</f>
        <v>0</v>
      </c>
    </row>
    <row r="27" spans="1:8" s="3" customFormat="1" ht="15">
      <c r="A27" s="14" t="s">
        <v>18</v>
      </c>
      <c r="B27" s="14"/>
      <c r="C27" s="14">
        <f>C18*B6</f>
        <v>2.4192762874075724</v>
      </c>
      <c r="D27" s="13"/>
      <c r="E27" s="36" t="s">
        <v>44</v>
      </c>
      <c r="F27" s="37"/>
      <c r="G27" s="28">
        <f>IF(G23&gt;20000,IF(G23&lt;30000,(G23-20000)*0.29,2900),0)</f>
        <v>0</v>
      </c>
      <c r="H27" s="13">
        <f>IF(G23&gt;20000,IF(G23&lt;30000,(G23-20000)*0.28,2800),0)</f>
        <v>0</v>
      </c>
    </row>
    <row r="28" spans="1:8" s="3" customFormat="1" ht="15">
      <c r="A28" s="14" t="s">
        <v>24</v>
      </c>
      <c r="B28" s="14"/>
      <c r="C28" s="14">
        <f>C18*B8</f>
        <v>9.67710514963029</v>
      </c>
      <c r="D28" s="13"/>
      <c r="E28" s="36" t="s">
        <v>45</v>
      </c>
      <c r="F28" s="37"/>
      <c r="G28" s="28">
        <f>IF(G23&gt;30000,IF(G23&lt;50000,(G23-30000)*0.33,6600),0)</f>
        <v>0</v>
      </c>
      <c r="H28" s="13">
        <f>IF(G23&gt;30000,IF(G23&lt;50000,(G23-30000)*0.32,6400),0)</f>
        <v>0</v>
      </c>
    </row>
    <row r="29" spans="1:8" s="3" customFormat="1" ht="15">
      <c r="A29" s="14" t="s">
        <v>25</v>
      </c>
      <c r="B29" s="14"/>
      <c r="C29" s="14">
        <f>C18*B9</f>
        <v>4.838552574815145</v>
      </c>
      <c r="D29" s="13"/>
      <c r="E29" s="36" t="s">
        <v>42</v>
      </c>
      <c r="F29" s="37"/>
      <c r="G29" s="28">
        <f>IF(G23&gt;50000,(G23-50000)*0.36,0)</f>
        <v>0</v>
      </c>
      <c r="H29" s="13">
        <f>IF(G23&gt;50000,(G23-50000)*0.35,0)</f>
        <v>0</v>
      </c>
    </row>
    <row r="30" spans="1:8" s="3" customFormat="1" ht="15">
      <c r="A30" s="38" t="s">
        <v>19</v>
      </c>
      <c r="B30" s="39"/>
      <c r="C30" s="39">
        <f>SUM(C26:C29)</f>
        <v>16.93493401185301</v>
      </c>
      <c r="D30" s="13"/>
      <c r="E30" s="40" t="s">
        <v>19</v>
      </c>
      <c r="F30" s="41"/>
      <c r="G30" s="14">
        <f>SUM(G25:G29)</f>
        <v>46.26</v>
      </c>
      <c r="H30" s="13">
        <f>SUM(H23:H29)</f>
        <v>0</v>
      </c>
    </row>
    <row r="31" spans="1:7" s="3" customFormat="1" ht="15">
      <c r="A31" s="42"/>
      <c r="B31" s="43"/>
      <c r="C31" s="43"/>
      <c r="E31" s="27"/>
      <c r="F31" s="37"/>
      <c r="G31" s="13"/>
    </row>
    <row r="32" spans="1:3" s="3" customFormat="1" ht="15">
      <c r="A32" s="17" t="s">
        <v>20</v>
      </c>
      <c r="B32" s="44">
        <v>12</v>
      </c>
      <c r="C32" s="13"/>
    </row>
    <row r="33" s="3" customFormat="1" ht="15"/>
    <row r="34" spans="6:8" s="3" customFormat="1" ht="18">
      <c r="F34" s="45"/>
      <c r="G34" s="45"/>
      <c r="H34" s="45"/>
    </row>
    <row r="35" spans="1:8" s="3" customFormat="1" ht="18">
      <c r="A35" s="45"/>
      <c r="B35" s="45"/>
      <c r="C35" s="46">
        <v>1000</v>
      </c>
      <c r="E35" s="45"/>
      <c r="F35" s="45"/>
      <c r="G35" s="45"/>
      <c r="H35" s="45"/>
    </row>
    <row r="36" spans="1:8" s="3" customFormat="1" ht="18">
      <c r="A36" s="45"/>
      <c r="B36" s="45"/>
      <c r="C36" s="45"/>
      <c r="D36" s="45"/>
      <c r="E36" s="45"/>
      <c r="F36" s="45"/>
      <c r="G36" s="45"/>
      <c r="H36" s="45"/>
    </row>
    <row r="37" spans="1:8" s="3" customFormat="1" ht="18.75" thickBot="1">
      <c r="A37" s="45"/>
      <c r="B37" s="45"/>
      <c r="C37" s="45"/>
      <c r="E37" s="45"/>
      <c r="F37" s="45"/>
      <c r="G37" s="45"/>
      <c r="H37" s="45"/>
    </row>
    <row r="38" spans="1:5" s="3" customFormat="1" ht="18.75" thickBot="1">
      <c r="A38" s="55" t="s">
        <v>39</v>
      </c>
      <c r="B38" s="56"/>
      <c r="C38" s="47">
        <f>C18+C30+B7/3</f>
        <v>554.3345248267008</v>
      </c>
      <c r="E38" s="45"/>
    </row>
    <row r="39" s="3" customFormat="1" ht="15"/>
    <row r="40" spans="3:4" s="3" customFormat="1" ht="15">
      <c r="C40" s="48">
        <f>+C38-C35</f>
        <v>-445.6654751732992</v>
      </c>
      <c r="D40" s="49">
        <f>+C40/C35</f>
        <v>-0.44566547517329924</v>
      </c>
    </row>
    <row r="41" s="3" customFormat="1" ht="15"/>
    <row r="42" s="3" customFormat="1" ht="15" hidden="1">
      <c r="A42" s="3" t="s">
        <v>33</v>
      </c>
    </row>
    <row r="43" s="3" customFormat="1" ht="15" hidden="1">
      <c r="A43" s="3" t="s">
        <v>32</v>
      </c>
    </row>
    <row r="44" s="3" customFormat="1" ht="15" hidden="1">
      <c r="A44" s="3" t="s">
        <v>34</v>
      </c>
    </row>
    <row r="45" s="3" customFormat="1" ht="15" hidden="1">
      <c r="A45" s="3" t="s">
        <v>35</v>
      </c>
    </row>
    <row r="46" s="3" customFormat="1" ht="15" hidden="1">
      <c r="A46" s="3" t="s">
        <v>36</v>
      </c>
    </row>
    <row r="47" s="3" customFormat="1" ht="15" hidden="1">
      <c r="A47" s="3" t="s">
        <v>38</v>
      </c>
    </row>
    <row r="48" s="3" customFormat="1" ht="15" hidden="1">
      <c r="A48" s="3" t="s">
        <v>37</v>
      </c>
    </row>
    <row r="49" s="3" customFormat="1" ht="15" hidden="1">
      <c r="A49" s="3">
        <v>0</v>
      </c>
    </row>
    <row r="50" s="3" customFormat="1" ht="15" hidden="1">
      <c r="A50" s="50">
        <v>160.633</v>
      </c>
    </row>
    <row r="51" s="3" customFormat="1" ht="15" hidden="1">
      <c r="A51" s="50">
        <v>240.95</v>
      </c>
    </row>
    <row r="52" s="3" customFormat="1" ht="15" hidden="1">
      <c r="A52" s="50">
        <v>321.266</v>
      </c>
    </row>
    <row r="53" s="3" customFormat="1" ht="15" hidden="1">
      <c r="A53" s="50">
        <v>481.9</v>
      </c>
    </row>
    <row r="54" s="3" customFormat="1" ht="15" hidden="1">
      <c r="A54" s="50">
        <v>642.533</v>
      </c>
    </row>
    <row r="55" s="3" customFormat="1" ht="15" hidden="1">
      <c r="A55" s="51">
        <v>0.0918</v>
      </c>
    </row>
    <row r="56" s="3" customFormat="1" ht="15" hidden="1">
      <c r="A56" s="51">
        <v>0</v>
      </c>
    </row>
    <row r="57" s="3" customFormat="1" ht="15" hidden="1">
      <c r="A57" s="51">
        <v>0.1657</v>
      </c>
    </row>
    <row r="58" s="3" customFormat="1" ht="15" hidden="1">
      <c r="A58" s="51">
        <v>0.1607</v>
      </c>
    </row>
    <row r="59" s="3" customFormat="1" ht="15" hidden="1">
      <c r="A59" s="51">
        <v>0</v>
      </c>
    </row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pans="1:8" ht="15">
      <c r="A69" s="3"/>
      <c r="B69" s="3"/>
      <c r="C69" s="3"/>
      <c r="E69" s="3"/>
      <c r="F69" s="3"/>
      <c r="G69" s="3"/>
      <c r="H69" s="3"/>
    </row>
  </sheetData>
  <sheetProtection/>
  <mergeCells count="7">
    <mergeCell ref="A38:B38"/>
    <mergeCell ref="A2:G2"/>
    <mergeCell ref="B11:D11"/>
    <mergeCell ref="B12:D12"/>
    <mergeCell ref="B13:D13"/>
    <mergeCell ref="B14:D14"/>
    <mergeCell ref="B15:D15"/>
  </mergeCells>
  <dataValidations count="5">
    <dataValidation type="list" allowBlank="1" showInputMessage="1" showErrorMessage="1" sqref="B11:D11">
      <formula1>$A$45:$A$48</formula1>
    </dataValidation>
    <dataValidation type="list" allowBlank="1" showInputMessage="1" showErrorMessage="1" sqref="B7">
      <formula1>$A$49:$A$54</formula1>
    </dataValidation>
    <dataValidation type="list" allowBlank="1" showInputMessage="1" showErrorMessage="1" sqref="B4">
      <formula1>$A$55:$A$56</formula1>
    </dataValidation>
    <dataValidation type="list" allowBlank="1" showInputMessage="1" showErrorMessage="1" sqref="B5">
      <formula1>$A$57:$A$59</formula1>
    </dataValidation>
    <dataValidation type="list" allowBlank="1" showInputMessage="1" showErrorMessage="1" sqref="B12:D15">
      <formula1>$A$42:$A$44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7030A0"/>
  </sheetPr>
  <dimension ref="A2:I69"/>
  <sheetViews>
    <sheetView zoomScalePageLayoutView="0" workbookViewId="0" topLeftCell="A1">
      <selection activeCell="A11" sqref="A11"/>
    </sheetView>
  </sheetViews>
  <sheetFormatPr defaultColWidth="11.421875" defaultRowHeight="15"/>
  <cols>
    <col min="1" max="1" width="18.421875" style="1" customWidth="1"/>
    <col min="2" max="2" width="13.7109375" style="1" customWidth="1"/>
    <col min="3" max="3" width="12.421875" style="1" customWidth="1"/>
    <col min="4" max="4" width="9.421875" style="1" customWidth="1"/>
    <col min="5" max="5" width="17.28125" style="1" customWidth="1"/>
    <col min="6" max="6" width="13.57421875" style="1" customWidth="1"/>
    <col min="7" max="16384" width="11.421875" style="1" customWidth="1"/>
  </cols>
  <sheetData>
    <row r="2" spans="1:7" ht="27">
      <c r="A2" s="57" t="s">
        <v>47</v>
      </c>
      <c r="B2" s="57"/>
      <c r="C2" s="57"/>
      <c r="D2" s="57"/>
      <c r="E2" s="57"/>
      <c r="F2" s="57"/>
      <c r="G2" s="57"/>
    </row>
    <row r="3" spans="1:7" s="3" customFormat="1" ht="23.25">
      <c r="A3" s="2" t="s">
        <v>26</v>
      </c>
      <c r="E3" s="4"/>
      <c r="F3" s="4"/>
      <c r="G3" s="4"/>
    </row>
    <row r="4" spans="1:7" s="3" customFormat="1" ht="15.75" customHeight="1">
      <c r="A4" s="5" t="s">
        <v>27</v>
      </c>
      <c r="B4" s="6">
        <v>0</v>
      </c>
      <c r="E4" s="4"/>
      <c r="F4" s="4"/>
      <c r="G4" s="4"/>
    </row>
    <row r="5" spans="1:7" s="3" customFormat="1" ht="15.75" customHeight="1">
      <c r="A5" s="5" t="s">
        <v>28</v>
      </c>
      <c r="B5" s="6">
        <v>0</v>
      </c>
      <c r="E5" s="4"/>
      <c r="F5" s="4"/>
      <c r="G5" s="4"/>
    </row>
    <row r="6" spans="1:7" s="3" customFormat="1" ht="15.75" customHeight="1">
      <c r="A6" s="5" t="s">
        <v>29</v>
      </c>
      <c r="B6" s="6">
        <v>0.03</v>
      </c>
      <c r="E6" s="4"/>
      <c r="F6" s="4"/>
      <c r="G6" s="4"/>
    </row>
    <row r="7" spans="1:7" s="3" customFormat="1" ht="15.75" customHeight="1">
      <c r="A7" s="5" t="s">
        <v>40</v>
      </c>
      <c r="B7" s="7">
        <v>0</v>
      </c>
      <c r="E7" s="4"/>
      <c r="F7" s="4"/>
      <c r="G7" s="4"/>
    </row>
    <row r="8" spans="1:7" s="3" customFormat="1" ht="15.75" customHeight="1">
      <c r="A8" s="5" t="s">
        <v>30</v>
      </c>
      <c r="B8" s="8">
        <v>0.02</v>
      </c>
      <c r="E8" s="4"/>
      <c r="F8" s="4"/>
      <c r="G8" s="4"/>
    </row>
    <row r="9" spans="1:7" s="3" customFormat="1" ht="15.75" customHeight="1">
      <c r="A9" s="5" t="s">
        <v>31</v>
      </c>
      <c r="B9" s="8">
        <v>0.01</v>
      </c>
      <c r="E9" s="4"/>
      <c r="F9" s="4"/>
      <c r="G9" s="4"/>
    </row>
    <row r="10" s="3" customFormat="1" ht="15"/>
    <row r="11" spans="1:8" s="3" customFormat="1" ht="15">
      <c r="A11" s="9" t="s">
        <v>0</v>
      </c>
      <c r="B11" s="58" t="s">
        <v>36</v>
      </c>
      <c r="C11" s="59"/>
      <c r="D11" s="59"/>
      <c r="E11" s="10"/>
      <c r="F11" s="11"/>
      <c r="G11" s="12">
        <f>IF(B11="Célibataire",0,150)</f>
        <v>150</v>
      </c>
      <c r="H11" s="13"/>
    </row>
    <row r="12" spans="1:8" s="3" customFormat="1" ht="15">
      <c r="A12" s="14" t="s">
        <v>1</v>
      </c>
      <c r="B12" s="58" t="s">
        <v>32</v>
      </c>
      <c r="C12" s="59"/>
      <c r="D12" s="59"/>
      <c r="E12" s="10"/>
      <c r="F12" s="11"/>
      <c r="G12" s="12">
        <f>IF(B12="non pris en charge",0,IF(B12="Pris en charge agé moins 20 ans",90,1000))</f>
        <v>90</v>
      </c>
      <c r="H12" s="13"/>
    </row>
    <row r="13" spans="1:8" s="3" customFormat="1" ht="15">
      <c r="A13" s="14" t="s">
        <v>2</v>
      </c>
      <c r="B13" s="58" t="s">
        <v>32</v>
      </c>
      <c r="C13" s="59"/>
      <c r="D13" s="59"/>
      <c r="E13" s="15"/>
      <c r="F13" s="11"/>
      <c r="G13" s="12">
        <f>IF(B13="non pris en charge",0,IF(B13="Pris en charge agé moins 20 ans",75,1000))</f>
        <v>75</v>
      </c>
      <c r="H13" s="13"/>
    </row>
    <row r="14" spans="1:8" s="3" customFormat="1" ht="15">
      <c r="A14" s="14" t="s">
        <v>3</v>
      </c>
      <c r="B14" s="58" t="s">
        <v>33</v>
      </c>
      <c r="C14" s="59"/>
      <c r="D14" s="59"/>
      <c r="E14" s="15"/>
      <c r="F14" s="11"/>
      <c r="G14" s="12">
        <f>IF(B14="non pris en charge",0,IF(B14="Pris en charge agé moins 20 ans",60,1000))</f>
        <v>0</v>
      </c>
      <c r="H14" s="13"/>
    </row>
    <row r="15" spans="1:8" s="3" customFormat="1" ht="15">
      <c r="A15" s="14" t="s">
        <v>4</v>
      </c>
      <c r="B15" s="58" t="s">
        <v>33</v>
      </c>
      <c r="C15" s="59"/>
      <c r="D15" s="59"/>
      <c r="E15" s="15"/>
      <c r="F15" s="11"/>
      <c r="G15" s="12">
        <f>IF(B15="non pris en charge",0,IF(B15="Pris en charge agé moins 20 ans",45,1000))</f>
        <v>0</v>
      </c>
      <c r="H15" s="13"/>
    </row>
    <row r="16" spans="1:8" s="3" customFormat="1" ht="15">
      <c r="A16" s="13"/>
      <c r="B16" s="13"/>
      <c r="C16" s="13"/>
      <c r="D16" s="13"/>
      <c r="E16" s="13"/>
      <c r="F16" s="16" t="s">
        <v>5</v>
      </c>
      <c r="G16" s="14">
        <f>SUM(G11:G15)</f>
        <v>315</v>
      </c>
      <c r="H16" s="13"/>
    </row>
    <row r="17" spans="1:7" s="3" customFormat="1" ht="15">
      <c r="A17" s="17" t="s">
        <v>6</v>
      </c>
      <c r="B17" s="18" t="s">
        <v>7</v>
      </c>
      <c r="C17" s="18" t="s">
        <v>8</v>
      </c>
      <c r="D17" s="13"/>
      <c r="E17" s="19"/>
      <c r="F17" s="13"/>
      <c r="G17" s="13"/>
    </row>
    <row r="18" spans="1:7" s="3" customFormat="1" ht="15">
      <c r="A18" s="14" t="s">
        <v>9</v>
      </c>
      <c r="B18" s="14">
        <f>+C18*B32</f>
        <v>10852.04</v>
      </c>
      <c r="C18" s="14">
        <v>904.3366666666667</v>
      </c>
      <c r="D18" s="13"/>
      <c r="E18" s="20" t="s">
        <v>10</v>
      </c>
      <c r="F18" s="21"/>
      <c r="G18" s="22"/>
    </row>
    <row r="19" spans="1:7" s="3" customFormat="1" ht="15">
      <c r="A19" s="14" t="s">
        <v>22</v>
      </c>
      <c r="B19" s="14">
        <f>B18*B4</f>
        <v>0</v>
      </c>
      <c r="C19" s="14">
        <f>C18*B4</f>
        <v>0</v>
      </c>
      <c r="D19" s="13"/>
      <c r="E19" s="23" t="s">
        <v>11</v>
      </c>
      <c r="F19" s="24"/>
      <c r="G19" s="25">
        <f>B20</f>
        <v>10852.04</v>
      </c>
    </row>
    <row r="20" spans="1:9" s="3" customFormat="1" ht="15">
      <c r="A20" s="14" t="s">
        <v>12</v>
      </c>
      <c r="B20" s="14">
        <f>+B18-B19</f>
        <v>10852.04</v>
      </c>
      <c r="C20" s="14">
        <f>+C18-C19</f>
        <v>904.3366666666667</v>
      </c>
      <c r="D20" s="13"/>
      <c r="E20" s="26" t="s">
        <v>13</v>
      </c>
      <c r="F20" s="27"/>
      <c r="G20" s="28">
        <f>IF(G19*0.1&lt;=2000,G19*0.1,2000)</f>
        <v>1085.2040000000002</v>
      </c>
      <c r="I20" s="13"/>
    </row>
    <row r="21" spans="1:7" s="3" customFormat="1" ht="15">
      <c r="A21" s="14" t="s">
        <v>23</v>
      </c>
      <c r="B21" s="14">
        <f>H30</f>
        <v>1157.52</v>
      </c>
      <c r="C21" s="14">
        <f>B21/B32</f>
        <v>96.46</v>
      </c>
      <c r="D21" s="13"/>
      <c r="E21" s="29" t="s">
        <v>14</v>
      </c>
      <c r="F21" s="30"/>
      <c r="G21" s="31">
        <f>G16</f>
        <v>315</v>
      </c>
    </row>
    <row r="22" spans="1:7" s="3" customFormat="1" ht="15">
      <c r="A22" s="14" t="s">
        <v>49</v>
      </c>
      <c r="B22" s="14">
        <f>+(G30-H30)</f>
        <v>94.52000000000021</v>
      </c>
      <c r="C22" s="14">
        <f>+B22/B32</f>
        <v>7.876666666666684</v>
      </c>
      <c r="D22" s="13"/>
      <c r="E22" s="11" t="s">
        <v>16</v>
      </c>
      <c r="F22" s="21"/>
      <c r="G22" s="12">
        <f>G19-G20-G21</f>
        <v>9451.836000000001</v>
      </c>
    </row>
    <row r="23" spans="1:7" s="3" customFormat="1" ht="15">
      <c r="A23" s="14" t="s">
        <v>15</v>
      </c>
      <c r="B23" s="14">
        <f>B20-B21</f>
        <v>9694.52</v>
      </c>
      <c r="C23" s="32">
        <f>+C20-C21-C22</f>
        <v>800</v>
      </c>
      <c r="D23" s="13"/>
      <c r="E23" s="26"/>
      <c r="F23" s="27"/>
      <c r="G23" s="28">
        <f>ROUNDUP(G22,0)</f>
        <v>9452</v>
      </c>
    </row>
    <row r="24" spans="1:7" s="3" customFormat="1" ht="15">
      <c r="A24" s="33"/>
      <c r="B24" s="33"/>
      <c r="C24" s="33"/>
      <c r="D24" s="13"/>
      <c r="E24" s="21"/>
      <c r="F24" s="21"/>
      <c r="G24" s="52"/>
    </row>
    <row r="25" spans="1:8" s="3" customFormat="1" ht="15">
      <c r="A25" s="18" t="s">
        <v>17</v>
      </c>
      <c r="B25" s="18" t="s">
        <v>7</v>
      </c>
      <c r="C25" s="18" t="s">
        <v>8</v>
      </c>
      <c r="D25" s="13"/>
      <c r="E25" s="34" t="s">
        <v>41</v>
      </c>
      <c r="F25" s="35"/>
      <c r="G25" s="25">
        <f>IF(G23&gt;5000,50,G23*0.01)</f>
        <v>50</v>
      </c>
      <c r="H25" s="13">
        <v>0</v>
      </c>
    </row>
    <row r="26" spans="1:8" s="3" customFormat="1" ht="15">
      <c r="A26" s="14" t="s">
        <v>21</v>
      </c>
      <c r="B26" s="14"/>
      <c r="C26" s="14">
        <f>C18*B5</f>
        <v>0</v>
      </c>
      <c r="D26" s="13"/>
      <c r="E26" s="36" t="s">
        <v>43</v>
      </c>
      <c r="F26" s="37"/>
      <c r="G26" s="28">
        <f>IF(G23&gt;5000,IF(G23&lt;20000,(G23-5000)*0.27,4050),0)</f>
        <v>1202.0400000000002</v>
      </c>
      <c r="H26" s="13">
        <f>IF(G23&gt;5000,IF(G23&lt;20000,(G23-5000)*0.26,3900),0)</f>
        <v>1157.52</v>
      </c>
    </row>
    <row r="27" spans="1:8" s="3" customFormat="1" ht="15">
      <c r="A27" s="14" t="s">
        <v>18</v>
      </c>
      <c r="B27" s="14"/>
      <c r="C27" s="14">
        <f>C18*B6</f>
        <v>27.1301</v>
      </c>
      <c r="D27" s="13"/>
      <c r="E27" s="36" t="s">
        <v>44</v>
      </c>
      <c r="F27" s="37"/>
      <c r="G27" s="28">
        <f>IF(G23&gt;20000,IF(G23&lt;30000,(G23-20000)*0.29,2900),0)</f>
        <v>0</v>
      </c>
      <c r="H27" s="13">
        <f>IF(G23&gt;20000,IF(G23&lt;30000,(G23-20000)*0.28,2800),0)</f>
        <v>0</v>
      </c>
    </row>
    <row r="28" spans="1:8" s="3" customFormat="1" ht="15">
      <c r="A28" s="14" t="s">
        <v>24</v>
      </c>
      <c r="B28" s="14"/>
      <c r="C28" s="14">
        <f>C18*B8</f>
        <v>18.086733333333335</v>
      </c>
      <c r="D28" s="13"/>
      <c r="E28" s="36" t="s">
        <v>45</v>
      </c>
      <c r="F28" s="37"/>
      <c r="G28" s="28">
        <f>IF(G23&gt;30000,IF(G23&lt;50000,(G23-30000)*0.33,6600),0)</f>
        <v>0</v>
      </c>
      <c r="H28" s="13">
        <f>IF(G23&gt;30000,IF(G23&lt;50000,(G23-30000)*0.32,6400),0)</f>
        <v>0</v>
      </c>
    </row>
    <row r="29" spans="1:8" s="3" customFormat="1" ht="15">
      <c r="A29" s="14" t="s">
        <v>25</v>
      </c>
      <c r="B29" s="14"/>
      <c r="C29" s="14">
        <f>C18*B9</f>
        <v>9.043366666666667</v>
      </c>
      <c r="D29" s="13"/>
      <c r="E29" s="36" t="s">
        <v>42</v>
      </c>
      <c r="F29" s="37"/>
      <c r="G29" s="28">
        <f>IF(G23&gt;50000,(G23-50000)*0.36,0)</f>
        <v>0</v>
      </c>
      <c r="H29" s="13">
        <f>IF(G23&gt;50000,(G23-50000)*0.35,0)</f>
        <v>0</v>
      </c>
    </row>
    <row r="30" spans="1:8" s="3" customFormat="1" ht="15">
      <c r="A30" s="38" t="s">
        <v>19</v>
      </c>
      <c r="B30" s="39"/>
      <c r="C30" s="39">
        <f>SUM(C26:C29)</f>
        <v>54.2602</v>
      </c>
      <c r="D30" s="13"/>
      <c r="E30" s="40" t="s">
        <v>19</v>
      </c>
      <c r="F30" s="41"/>
      <c r="G30" s="14">
        <f>SUM(G25:G29)</f>
        <v>1252.0400000000002</v>
      </c>
      <c r="H30" s="13">
        <f>SUM(H23:H29)</f>
        <v>1157.52</v>
      </c>
    </row>
    <row r="31" spans="1:7" s="3" customFormat="1" ht="15">
      <c r="A31" s="42"/>
      <c r="B31" s="43"/>
      <c r="C31" s="43"/>
      <c r="E31" s="27"/>
      <c r="F31" s="37"/>
      <c r="G31" s="13"/>
    </row>
    <row r="32" spans="1:3" s="3" customFormat="1" ht="15">
      <c r="A32" s="17" t="s">
        <v>20</v>
      </c>
      <c r="B32" s="44">
        <v>12</v>
      </c>
      <c r="C32" s="13"/>
    </row>
    <row r="33" s="3" customFormat="1" ht="15"/>
    <row r="34" spans="6:8" s="3" customFormat="1" ht="18">
      <c r="F34" s="45"/>
      <c r="G34" s="45"/>
      <c r="H34" s="45"/>
    </row>
    <row r="35" spans="1:8" s="3" customFormat="1" ht="18">
      <c r="A35" s="45"/>
      <c r="B35" s="45"/>
      <c r="C35" s="46">
        <v>800</v>
      </c>
      <c r="E35" s="45"/>
      <c r="F35" s="45"/>
      <c r="G35" s="45"/>
      <c r="H35" s="45"/>
    </row>
    <row r="36" spans="1:8" s="3" customFormat="1" ht="18">
      <c r="A36" s="45"/>
      <c r="B36" s="45"/>
      <c r="C36" s="45"/>
      <c r="D36" s="45"/>
      <c r="E36" s="45"/>
      <c r="F36" s="45"/>
      <c r="G36" s="45"/>
      <c r="H36" s="45"/>
    </row>
    <row r="37" spans="1:8" s="3" customFormat="1" ht="18.75" thickBot="1">
      <c r="A37" s="45"/>
      <c r="B37" s="45"/>
      <c r="C37" s="45"/>
      <c r="E37" s="45"/>
      <c r="F37" s="45"/>
      <c r="G37" s="45"/>
      <c r="H37" s="45"/>
    </row>
    <row r="38" spans="1:5" s="3" customFormat="1" ht="18.75" thickBot="1">
      <c r="A38" s="55" t="s">
        <v>39</v>
      </c>
      <c r="B38" s="56"/>
      <c r="C38" s="47">
        <f>C18+C30+B7/3</f>
        <v>958.5968666666668</v>
      </c>
      <c r="E38" s="45"/>
    </row>
    <row r="39" s="3" customFormat="1" ht="15"/>
    <row r="40" spans="3:4" s="3" customFormat="1" ht="15">
      <c r="C40" s="48">
        <f>+C38-C35</f>
        <v>158.59686666666676</v>
      </c>
      <c r="D40" s="49">
        <f>+C40/C35</f>
        <v>0.19824608333333343</v>
      </c>
    </row>
    <row r="41" s="3" customFormat="1" ht="15"/>
    <row r="42" s="3" customFormat="1" ht="15" hidden="1">
      <c r="A42" s="3" t="s">
        <v>33</v>
      </c>
    </row>
    <row r="43" s="3" customFormat="1" ht="15" hidden="1">
      <c r="A43" s="3" t="s">
        <v>32</v>
      </c>
    </row>
    <row r="44" s="3" customFormat="1" ht="15" hidden="1">
      <c r="A44" s="3" t="s">
        <v>34</v>
      </c>
    </row>
    <row r="45" s="3" customFormat="1" ht="15" hidden="1">
      <c r="A45" s="3" t="s">
        <v>35</v>
      </c>
    </row>
    <row r="46" s="3" customFormat="1" ht="15" hidden="1">
      <c r="A46" s="3" t="s">
        <v>36</v>
      </c>
    </row>
    <row r="47" s="3" customFormat="1" ht="15" hidden="1">
      <c r="A47" s="3" t="s">
        <v>38</v>
      </c>
    </row>
    <row r="48" s="3" customFormat="1" ht="15" hidden="1">
      <c r="A48" s="3" t="s">
        <v>37</v>
      </c>
    </row>
    <row r="49" s="3" customFormat="1" ht="15" hidden="1">
      <c r="A49" s="3">
        <v>0</v>
      </c>
    </row>
    <row r="50" s="3" customFormat="1" ht="15" hidden="1">
      <c r="A50" s="50">
        <v>151.542</v>
      </c>
    </row>
    <row r="51" s="3" customFormat="1" ht="15" hidden="1">
      <c r="A51" s="50">
        <v>227.314</v>
      </c>
    </row>
    <row r="52" s="3" customFormat="1" ht="15" hidden="1">
      <c r="A52" s="50">
        <v>303.085</v>
      </c>
    </row>
    <row r="53" s="3" customFormat="1" ht="15" hidden="1">
      <c r="A53" s="50">
        <v>454.627</v>
      </c>
    </row>
    <row r="54" s="3" customFormat="1" ht="15" hidden="1">
      <c r="A54" s="50">
        <v>606.17</v>
      </c>
    </row>
    <row r="55" s="3" customFormat="1" ht="15" hidden="1">
      <c r="A55" s="51">
        <v>0.0918</v>
      </c>
    </row>
    <row r="56" s="3" customFormat="1" ht="15" hidden="1">
      <c r="A56" s="51">
        <v>0</v>
      </c>
    </row>
    <row r="57" s="3" customFormat="1" ht="15" hidden="1">
      <c r="A57" s="51">
        <v>0.1657</v>
      </c>
    </row>
    <row r="58" s="3" customFormat="1" ht="15" hidden="1">
      <c r="A58" s="51">
        <v>0.1607</v>
      </c>
    </row>
    <row r="59" s="3" customFormat="1" ht="15" hidden="1">
      <c r="A59" s="51">
        <v>0</v>
      </c>
    </row>
    <row r="60" s="3" customFormat="1" ht="15" hidden="1"/>
    <row r="61" s="3" customFormat="1" ht="15" hidden="1"/>
    <row r="62" s="3" customFormat="1" ht="15" hidden="1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pans="1:8" ht="15">
      <c r="A69" s="3"/>
      <c r="B69" s="3"/>
      <c r="C69" s="3"/>
      <c r="E69" s="3"/>
      <c r="F69" s="3"/>
      <c r="G69" s="3"/>
      <c r="H69" s="3"/>
    </row>
  </sheetData>
  <sheetProtection/>
  <mergeCells count="7">
    <mergeCell ref="A38:B38"/>
    <mergeCell ref="A2:G2"/>
    <mergeCell ref="B11:D11"/>
    <mergeCell ref="B12:D12"/>
    <mergeCell ref="B13:D13"/>
    <mergeCell ref="B14:D14"/>
    <mergeCell ref="B15:D15"/>
  </mergeCells>
  <dataValidations count="5">
    <dataValidation type="list" allowBlank="1" showInputMessage="1" showErrorMessage="1" sqref="B5">
      <formula1>$A$57:$A$59</formula1>
    </dataValidation>
    <dataValidation type="list" allowBlank="1" showInputMessage="1" showErrorMessage="1" sqref="B4">
      <formula1>$A$55:$A$56</formula1>
    </dataValidation>
    <dataValidation type="list" allowBlank="1" showInputMessage="1" showErrorMessage="1" sqref="B7">
      <formula1>$A$49:$A$54</formula1>
    </dataValidation>
    <dataValidation type="list" allowBlank="1" showInputMessage="1" showErrorMessage="1" sqref="B12:D15">
      <formula1>$A$42:$A$44</formula1>
    </dataValidation>
    <dataValidation type="list" allowBlank="1" showInputMessage="1" showErrorMessage="1" sqref="B11:D11">
      <formula1>$A$45:$A$48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tabColor rgb="FF002060"/>
  </sheetPr>
  <dimension ref="A2:I58"/>
  <sheetViews>
    <sheetView zoomScalePageLayoutView="0" workbookViewId="0" topLeftCell="A1">
      <selection activeCell="A11" sqref="A11"/>
    </sheetView>
  </sheetViews>
  <sheetFormatPr defaultColWidth="11.421875" defaultRowHeight="15"/>
  <cols>
    <col min="1" max="1" width="18.421875" style="1" customWidth="1"/>
    <col min="2" max="2" width="13.7109375" style="1" customWidth="1"/>
    <col min="3" max="3" width="12.421875" style="1" customWidth="1"/>
    <col min="4" max="4" width="9.421875" style="1" customWidth="1"/>
    <col min="5" max="5" width="17.28125" style="1" customWidth="1"/>
    <col min="6" max="6" width="14.28125" style="1" customWidth="1"/>
    <col min="7" max="16384" width="11.421875" style="1" customWidth="1"/>
  </cols>
  <sheetData>
    <row r="2" spans="1:7" ht="27">
      <c r="A2" s="57" t="s">
        <v>46</v>
      </c>
      <c r="B2" s="57"/>
      <c r="C2" s="57"/>
      <c r="D2" s="57"/>
      <c r="E2" s="57"/>
      <c r="F2" s="57"/>
      <c r="G2" s="57"/>
    </row>
    <row r="3" spans="1:7" s="3" customFormat="1" ht="14.25" customHeight="1">
      <c r="A3" s="2" t="s">
        <v>26</v>
      </c>
      <c r="E3" s="4"/>
      <c r="F3" s="4"/>
      <c r="G3" s="4"/>
    </row>
    <row r="4" spans="1:7" s="3" customFormat="1" ht="14.25" customHeight="1">
      <c r="A4" s="5" t="s">
        <v>27</v>
      </c>
      <c r="B4" s="6">
        <v>0.0918</v>
      </c>
      <c r="E4" s="4"/>
      <c r="F4" s="4"/>
      <c r="G4" s="4"/>
    </row>
    <row r="5" spans="1:7" s="3" customFormat="1" ht="14.25" customHeight="1">
      <c r="A5" s="5" t="s">
        <v>28</v>
      </c>
      <c r="B5" s="6">
        <v>0.1657</v>
      </c>
      <c r="E5" s="4"/>
      <c r="F5" s="4"/>
      <c r="G5" s="4"/>
    </row>
    <row r="6" spans="1:7" s="3" customFormat="1" ht="14.25" customHeight="1">
      <c r="A6" s="5" t="s">
        <v>29</v>
      </c>
      <c r="B6" s="6">
        <v>0.024</v>
      </c>
      <c r="E6" s="4"/>
      <c r="F6" s="4"/>
      <c r="G6" s="4"/>
    </row>
    <row r="7" spans="1:7" s="3" customFormat="1" ht="14.25" customHeight="1">
      <c r="A7" s="5" t="s">
        <v>40</v>
      </c>
      <c r="B7" s="7">
        <v>0</v>
      </c>
      <c r="E7" s="4"/>
      <c r="F7" s="4"/>
      <c r="G7" s="4"/>
    </row>
    <row r="8" spans="1:7" s="3" customFormat="1" ht="14.25" customHeight="1">
      <c r="A8" s="5" t="s">
        <v>30</v>
      </c>
      <c r="B8" s="8">
        <v>0.02</v>
      </c>
      <c r="E8" s="4"/>
      <c r="F8" s="4"/>
      <c r="G8" s="4"/>
    </row>
    <row r="9" spans="1:7" s="3" customFormat="1" ht="14.25" customHeight="1">
      <c r="A9" s="5" t="s">
        <v>31</v>
      </c>
      <c r="B9" s="8">
        <v>0.01</v>
      </c>
      <c r="E9" s="4"/>
      <c r="F9" s="4"/>
      <c r="G9" s="4"/>
    </row>
    <row r="10" s="3" customFormat="1" ht="15"/>
    <row r="11" spans="1:8" s="3" customFormat="1" ht="15">
      <c r="A11" s="9" t="s">
        <v>0</v>
      </c>
      <c r="B11" s="58" t="s">
        <v>36</v>
      </c>
      <c r="C11" s="59"/>
      <c r="D11" s="59"/>
      <c r="E11" s="10"/>
      <c r="F11" s="11"/>
      <c r="G11" s="12">
        <f>IF(B11="Célibataire",0,150)</f>
        <v>150</v>
      </c>
      <c r="H11" s="13"/>
    </row>
    <row r="12" spans="1:8" s="3" customFormat="1" ht="15">
      <c r="A12" s="14" t="s">
        <v>1</v>
      </c>
      <c r="B12" s="58" t="s">
        <v>32</v>
      </c>
      <c r="C12" s="59"/>
      <c r="D12" s="59"/>
      <c r="E12" s="10"/>
      <c r="F12" s="11"/>
      <c r="G12" s="12">
        <f>IF(B12="non pris en charge",0,IF(B12="Pris en charge agé moins 20 ans",90,1000))</f>
        <v>90</v>
      </c>
      <c r="H12" s="13"/>
    </row>
    <row r="13" spans="1:8" s="3" customFormat="1" ht="15">
      <c r="A13" s="14" t="s">
        <v>2</v>
      </c>
      <c r="B13" s="58" t="s">
        <v>32</v>
      </c>
      <c r="C13" s="59"/>
      <c r="D13" s="59"/>
      <c r="E13" s="15"/>
      <c r="F13" s="11"/>
      <c r="G13" s="12">
        <f>IF(B13="non pris en charge",0,IF(B13="Pris en charge agé moins 20 ans",75,1000))</f>
        <v>75</v>
      </c>
      <c r="H13" s="13"/>
    </row>
    <row r="14" spans="1:8" s="3" customFormat="1" ht="15">
      <c r="A14" s="14" t="s">
        <v>3</v>
      </c>
      <c r="B14" s="58" t="s">
        <v>32</v>
      </c>
      <c r="C14" s="59"/>
      <c r="D14" s="59"/>
      <c r="E14" s="15"/>
      <c r="F14" s="11"/>
      <c r="G14" s="12">
        <f>IF(B14="non pris en charge",0,IF(B14="Pris en charge agé moins 20 ans",60,1000))</f>
        <v>60</v>
      </c>
      <c r="H14" s="13"/>
    </row>
    <row r="15" spans="1:8" s="3" customFormat="1" ht="15">
      <c r="A15" s="14" t="s">
        <v>4</v>
      </c>
      <c r="B15" s="58" t="s">
        <v>32</v>
      </c>
      <c r="C15" s="59"/>
      <c r="D15" s="59"/>
      <c r="E15" s="15"/>
      <c r="F15" s="11"/>
      <c r="G15" s="12">
        <f>IF(B15="non pris en charge",0,IF(B15="Pris en charge agé moins 20 ans",45,1000))</f>
        <v>45</v>
      </c>
      <c r="H15" s="13"/>
    </row>
    <row r="16" spans="1:8" s="3" customFormat="1" ht="15">
      <c r="A16" s="13"/>
      <c r="B16" s="13"/>
      <c r="C16" s="13"/>
      <c r="D16" s="13"/>
      <c r="E16" s="13"/>
      <c r="F16" s="16" t="s">
        <v>5</v>
      </c>
      <c r="G16" s="14">
        <f>SUM(G11:G15)</f>
        <v>420</v>
      </c>
      <c r="H16" s="13"/>
    </row>
    <row r="17" spans="1:7" s="3" customFormat="1" ht="15">
      <c r="A17" s="17" t="s">
        <v>6</v>
      </c>
      <c r="B17" s="18" t="s">
        <v>7</v>
      </c>
      <c r="C17" s="18" t="s">
        <v>8</v>
      </c>
      <c r="D17" s="13"/>
      <c r="E17" s="19"/>
      <c r="F17" s="13"/>
      <c r="G17" s="13"/>
    </row>
    <row r="18" spans="1:7" s="3" customFormat="1" ht="15">
      <c r="A18" s="14" t="s">
        <v>9</v>
      </c>
      <c r="B18" s="14">
        <f>+C18*B31</f>
        <v>15223.78330764149</v>
      </c>
      <c r="C18" s="14">
        <v>1268.648608970124</v>
      </c>
      <c r="D18" s="13"/>
      <c r="E18" s="20" t="s">
        <v>10</v>
      </c>
      <c r="F18" s="21"/>
      <c r="G18" s="22"/>
    </row>
    <row r="19" spans="1:7" s="3" customFormat="1" ht="15">
      <c r="A19" s="14" t="s">
        <v>22</v>
      </c>
      <c r="B19" s="14">
        <f>B18*B4</f>
        <v>1397.5433076414888</v>
      </c>
      <c r="C19" s="14">
        <f>C18*B4</f>
        <v>116.4619423034574</v>
      </c>
      <c r="D19" s="13"/>
      <c r="E19" s="23" t="s">
        <v>11</v>
      </c>
      <c r="F19" s="24"/>
      <c r="G19" s="25">
        <f>B20</f>
        <v>13826.240000000002</v>
      </c>
    </row>
    <row r="20" spans="1:9" s="3" customFormat="1" ht="15">
      <c r="A20" s="14" t="s">
        <v>12</v>
      </c>
      <c r="B20" s="14">
        <f>+B18-B19</f>
        <v>13826.240000000002</v>
      </c>
      <c r="C20" s="14">
        <f>+C18-C19</f>
        <v>1152.1866666666667</v>
      </c>
      <c r="D20" s="13"/>
      <c r="E20" s="26" t="s">
        <v>13</v>
      </c>
      <c r="F20" s="27"/>
      <c r="G20" s="28">
        <f>IF(G19*0.1&lt;=2000,G19*0.1,2000)</f>
        <v>1382.6240000000003</v>
      </c>
      <c r="I20" s="13"/>
    </row>
    <row r="21" spans="1:7" s="3" customFormat="1" ht="15">
      <c r="A21" s="14" t="s">
        <v>23</v>
      </c>
      <c r="B21" s="14">
        <f>G29</f>
        <v>1826.24</v>
      </c>
      <c r="C21" s="14">
        <f>B21/B31</f>
        <v>152.18666666666667</v>
      </c>
      <c r="D21" s="13"/>
      <c r="E21" s="29" t="s">
        <v>14</v>
      </c>
      <c r="F21" s="30"/>
      <c r="G21" s="31">
        <f>G16</f>
        <v>420</v>
      </c>
    </row>
    <row r="22" spans="1:7" s="3" customFormat="1" ht="15">
      <c r="A22" s="14" t="s">
        <v>15</v>
      </c>
      <c r="B22" s="14">
        <f>B20-B21</f>
        <v>12000.000000000002</v>
      </c>
      <c r="C22" s="32">
        <f>+C20-C21</f>
        <v>1000</v>
      </c>
      <c r="D22" s="13"/>
      <c r="E22" s="11" t="s">
        <v>16</v>
      </c>
      <c r="F22" s="21"/>
      <c r="G22" s="12">
        <f>G19-G20-G21</f>
        <v>12023.616000000002</v>
      </c>
    </row>
    <row r="23" spans="1:7" s="3" customFormat="1" ht="15">
      <c r="A23" s="33"/>
      <c r="B23" s="33"/>
      <c r="C23" s="33"/>
      <c r="D23" s="13"/>
      <c r="E23" s="23"/>
      <c r="F23" s="24"/>
      <c r="G23" s="25">
        <f>ROUNDUP(G22,0)</f>
        <v>12024</v>
      </c>
    </row>
    <row r="24" spans="1:7" s="3" customFormat="1" ht="15">
      <c r="A24" s="18" t="s">
        <v>17</v>
      </c>
      <c r="B24" s="18" t="s">
        <v>7</v>
      </c>
      <c r="C24" s="18" t="s">
        <v>8</v>
      </c>
      <c r="D24" s="13"/>
      <c r="E24" s="34" t="s">
        <v>41</v>
      </c>
      <c r="F24" s="35"/>
      <c r="G24" s="25">
        <v>0</v>
      </c>
    </row>
    <row r="25" spans="1:7" s="3" customFormat="1" ht="15">
      <c r="A25" s="14" t="s">
        <v>21</v>
      </c>
      <c r="B25" s="14"/>
      <c r="C25" s="14">
        <f>C18*B5</f>
        <v>210.21507450634954</v>
      </c>
      <c r="D25" s="13"/>
      <c r="E25" s="36" t="s">
        <v>43</v>
      </c>
      <c r="F25" s="37"/>
      <c r="G25" s="28">
        <f>IF(G23&gt;5000,IF(G23&lt;20000,(G23-5000)*0.26,3900),0)</f>
        <v>1826.24</v>
      </c>
    </row>
    <row r="26" spans="1:7" s="3" customFormat="1" ht="15">
      <c r="A26" s="14" t="s">
        <v>18</v>
      </c>
      <c r="B26" s="14"/>
      <c r="C26" s="14">
        <f>C18*B6</f>
        <v>30.44756661528298</v>
      </c>
      <c r="D26" s="13"/>
      <c r="E26" s="36" t="s">
        <v>44</v>
      </c>
      <c r="F26" s="37"/>
      <c r="G26" s="28">
        <f>IF(G23&gt;20000,IF(G23&lt;30000,(G23-20000)*0.28,2800),0)</f>
        <v>0</v>
      </c>
    </row>
    <row r="27" spans="1:7" s="3" customFormat="1" ht="15">
      <c r="A27" s="14" t="s">
        <v>24</v>
      </c>
      <c r="B27" s="14"/>
      <c r="C27" s="14">
        <f>C18*B8</f>
        <v>25.37297217940248</v>
      </c>
      <c r="D27" s="13"/>
      <c r="E27" s="36" t="s">
        <v>45</v>
      </c>
      <c r="F27" s="37"/>
      <c r="G27" s="28">
        <f>IF(G23&gt;30000,IF(G23&lt;50000,(G23-30000)*0.32,6400),0)</f>
        <v>0</v>
      </c>
    </row>
    <row r="28" spans="1:7" s="3" customFormat="1" ht="15">
      <c r="A28" s="14" t="s">
        <v>25</v>
      </c>
      <c r="B28" s="14"/>
      <c r="C28" s="14">
        <f>C18*B9</f>
        <v>12.68648608970124</v>
      </c>
      <c r="D28" s="13"/>
      <c r="E28" s="36" t="s">
        <v>42</v>
      </c>
      <c r="F28" s="37"/>
      <c r="G28" s="28">
        <f>IF(G23&gt;50000,(G23-50000)*0.35,0)</f>
        <v>0</v>
      </c>
    </row>
    <row r="29" spans="1:7" s="3" customFormat="1" ht="15">
      <c r="A29" s="38" t="s">
        <v>19</v>
      </c>
      <c r="B29" s="39"/>
      <c r="C29" s="39">
        <f>SUM(C25:C28)</f>
        <v>278.7220993907363</v>
      </c>
      <c r="D29" s="13"/>
      <c r="E29" s="40" t="s">
        <v>19</v>
      </c>
      <c r="F29" s="41"/>
      <c r="G29" s="14">
        <f>SUM(G24:G28)</f>
        <v>1826.24</v>
      </c>
    </row>
    <row r="30" spans="1:7" s="3" customFormat="1" ht="15">
      <c r="A30" s="42"/>
      <c r="B30" s="43"/>
      <c r="C30" s="43"/>
      <c r="D30" s="13"/>
      <c r="E30" s="27"/>
      <c r="F30" s="37"/>
      <c r="G30" s="13"/>
    </row>
    <row r="31" spans="1:3" s="3" customFormat="1" ht="15">
      <c r="A31" s="17" t="s">
        <v>20</v>
      </c>
      <c r="B31" s="44">
        <v>12</v>
      </c>
      <c r="C31" s="13"/>
    </row>
    <row r="32" s="3" customFormat="1" ht="15"/>
    <row r="33" spans="6:8" s="3" customFormat="1" ht="18">
      <c r="F33" s="45"/>
      <c r="G33" s="45"/>
      <c r="H33" s="45"/>
    </row>
    <row r="34" spans="1:8" s="3" customFormat="1" ht="14.25" customHeight="1">
      <c r="A34" s="45"/>
      <c r="B34" s="45"/>
      <c r="C34" s="46">
        <v>1000</v>
      </c>
      <c r="E34" s="45"/>
      <c r="F34" s="45"/>
      <c r="G34" s="45"/>
      <c r="H34" s="45"/>
    </row>
    <row r="35" spans="1:8" s="3" customFormat="1" ht="18">
      <c r="A35" s="45"/>
      <c r="B35" s="45"/>
      <c r="C35" s="45"/>
      <c r="E35" s="45"/>
      <c r="F35" s="45"/>
      <c r="G35" s="45"/>
      <c r="H35" s="45"/>
    </row>
    <row r="36" spans="1:8" s="3" customFormat="1" ht="18.75" thickBot="1">
      <c r="A36" s="45"/>
      <c r="B36" s="45"/>
      <c r="C36" s="45"/>
      <c r="D36" s="45"/>
      <c r="E36" s="45"/>
      <c r="F36" s="45"/>
      <c r="G36" s="45"/>
      <c r="H36" s="45"/>
    </row>
    <row r="37" spans="1:5" s="3" customFormat="1" ht="18.75" thickBot="1">
      <c r="A37" s="55" t="s">
        <v>39</v>
      </c>
      <c r="B37" s="56"/>
      <c r="C37" s="47">
        <f>C18+C29+B7/3</f>
        <v>1547.3707083608604</v>
      </c>
      <c r="E37" s="45"/>
    </row>
    <row r="38" s="3" customFormat="1" ht="15"/>
    <row r="39" spans="3:4" s="3" customFormat="1" ht="15">
      <c r="C39" s="48">
        <f>+C37-C34</f>
        <v>547.3707083608604</v>
      </c>
      <c r="D39" s="49">
        <f>+C39/C34</f>
        <v>0.5473707083608603</v>
      </c>
    </row>
    <row r="40" s="3" customFormat="1" ht="15" hidden="1"/>
    <row r="41" s="3" customFormat="1" ht="15" hidden="1">
      <c r="A41" s="3" t="s">
        <v>33</v>
      </c>
    </row>
    <row r="42" s="3" customFormat="1" ht="15" hidden="1">
      <c r="A42" s="3" t="s">
        <v>32</v>
      </c>
    </row>
    <row r="43" s="3" customFormat="1" ht="15" hidden="1">
      <c r="A43" s="3" t="s">
        <v>34</v>
      </c>
    </row>
    <row r="44" s="3" customFormat="1" ht="15" hidden="1">
      <c r="A44" s="3" t="s">
        <v>35</v>
      </c>
    </row>
    <row r="45" s="3" customFormat="1" ht="15" hidden="1">
      <c r="A45" s="3" t="s">
        <v>36</v>
      </c>
    </row>
    <row r="46" s="3" customFormat="1" ht="15" hidden="1">
      <c r="A46" s="3" t="s">
        <v>38</v>
      </c>
    </row>
    <row r="47" s="3" customFormat="1" ht="15" hidden="1">
      <c r="A47" s="3" t="s">
        <v>37</v>
      </c>
    </row>
    <row r="48" s="3" customFormat="1" ht="15" hidden="1">
      <c r="A48" s="3">
        <v>0</v>
      </c>
    </row>
    <row r="49" s="3" customFormat="1" ht="15" hidden="1">
      <c r="A49" s="50">
        <v>151.542</v>
      </c>
    </row>
    <row r="50" s="3" customFormat="1" ht="15" hidden="1">
      <c r="A50" s="50">
        <v>227.314</v>
      </c>
    </row>
    <row r="51" s="3" customFormat="1" ht="15" hidden="1">
      <c r="A51" s="50">
        <v>303.085</v>
      </c>
    </row>
    <row r="52" s="3" customFormat="1" ht="15" hidden="1">
      <c r="A52" s="50">
        <v>454.627</v>
      </c>
    </row>
    <row r="53" s="3" customFormat="1" ht="15" hidden="1">
      <c r="A53" s="50">
        <v>606.17</v>
      </c>
    </row>
    <row r="54" s="3" customFormat="1" ht="15" hidden="1">
      <c r="A54" s="51">
        <v>0.0918</v>
      </c>
    </row>
    <row r="55" s="3" customFormat="1" ht="15" hidden="1">
      <c r="A55" s="51">
        <v>0</v>
      </c>
    </row>
    <row r="56" s="3" customFormat="1" ht="15" hidden="1">
      <c r="A56" s="51">
        <v>0.1657</v>
      </c>
    </row>
    <row r="57" s="3" customFormat="1" ht="15" hidden="1">
      <c r="A57" s="51">
        <v>0.1607</v>
      </c>
    </row>
    <row r="58" s="3" customFormat="1" ht="15" hidden="1">
      <c r="A58" s="51">
        <v>0</v>
      </c>
    </row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</sheetData>
  <sheetProtection/>
  <mergeCells count="7">
    <mergeCell ref="A2:G2"/>
    <mergeCell ref="A37:B37"/>
    <mergeCell ref="B11:D11"/>
    <mergeCell ref="B12:D12"/>
    <mergeCell ref="B13:D13"/>
    <mergeCell ref="B14:D14"/>
    <mergeCell ref="B15:D15"/>
  </mergeCells>
  <dataValidations count="5">
    <dataValidation type="list" allowBlank="1" showInputMessage="1" showErrorMessage="1" sqref="B11:D11">
      <formula1>$A$44:$A$47</formula1>
    </dataValidation>
    <dataValidation type="list" allowBlank="1" showInputMessage="1" showErrorMessage="1" sqref="B12:D15">
      <formula1>$A$41:$A$43</formula1>
    </dataValidation>
    <dataValidation type="list" allowBlank="1" showInputMessage="1" showErrorMessage="1" sqref="B7">
      <formula1>$A$48:$A$53</formula1>
    </dataValidation>
    <dataValidation type="list" allowBlank="1" showInputMessage="1" showErrorMessage="1" sqref="B4">
      <formula1>$A$54:$A$55</formula1>
    </dataValidation>
    <dataValidation type="list" allowBlank="1" showInputMessage="1" showErrorMessage="1" sqref="B5">
      <formula1>$A$56:$A$58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2020-10-13T12:27:30Z</dcterms:modified>
  <cp:category/>
  <cp:version/>
  <cp:contentType/>
  <cp:contentStatus/>
</cp:coreProperties>
</file>